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sus\Desktop\MATRICES RIESGOS 2024\"/>
    </mc:Choice>
  </mc:AlternateContent>
  <bookViews>
    <workbookView xWindow="0" yWindow="0" windowWidth="20496" windowHeight="6852" tabRatio="83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r:id="rId8"/>
    <sheet name="Hoja1" sheetId="11" state="hidden" r:id="rId9"/>
  </sheets>
  <externalReferences>
    <externalReference r:id="rId10"/>
  </externalReferences>
  <calcPr calcId="162913"/>
  <pivotCaches>
    <pivotCache cacheId="0" r:id="rId11"/>
  </pivotCaches>
</workbook>
</file>

<file path=xl/calcChain.xml><?xml version="1.0" encoding="utf-8"?>
<calcChain xmlns="http://schemas.openxmlformats.org/spreadsheetml/2006/main">
  <c r="T27" i="1" l="1"/>
  <c r="T40" i="1"/>
  <c r="Q40" i="1"/>
  <c r="T39" i="1"/>
  <c r="Q39" i="1"/>
  <c r="T38" i="1"/>
  <c r="T37" i="1"/>
  <c r="T36" i="1"/>
  <c r="Q36" i="1"/>
  <c r="T35" i="1"/>
  <c r="Q35" i="1"/>
  <c r="K35" i="1"/>
  <c r="L35" i="1" s="1"/>
  <c r="H35" i="1"/>
  <c r="I35" i="1" s="1"/>
  <c r="Y35" i="1" s="1"/>
  <c r="X35" i="1" s="1"/>
  <c r="T34" i="1"/>
  <c r="Q34" i="1"/>
  <c r="T33" i="1"/>
  <c r="T32" i="1"/>
  <c r="T31" i="1"/>
  <c r="T30" i="1"/>
  <c r="Q30" i="1"/>
  <c r="T29" i="1"/>
  <c r="K29" i="1"/>
  <c r="H29" i="1"/>
  <c r="I29" i="1" s="1"/>
  <c r="T28" i="1"/>
  <c r="Q28" i="1"/>
  <c r="T26" i="1"/>
  <c r="Q26" i="1"/>
  <c r="T25" i="1"/>
  <c r="Q25" i="1"/>
  <c r="T24" i="1"/>
  <c r="T23" i="1"/>
  <c r="Q23" i="1"/>
  <c r="K23" i="1"/>
  <c r="L23" i="1" s="1"/>
  <c r="H23" i="1"/>
  <c r="I23" i="1" s="1"/>
  <c r="T22" i="1"/>
  <c r="Q22" i="1"/>
  <c r="T21" i="1"/>
  <c r="Q21" i="1"/>
  <c r="AA22" i="1" s="1"/>
  <c r="Z22" i="1" s="1"/>
  <c r="T20" i="1"/>
  <c r="Q20" i="1"/>
  <c r="AA21" i="1" s="1"/>
  <c r="Z21" i="1" s="1"/>
  <c r="T19" i="1"/>
  <c r="T18" i="1"/>
  <c r="T17" i="1"/>
  <c r="Q17" i="1"/>
  <c r="K17" i="1"/>
  <c r="L17" i="1" s="1"/>
  <c r="H17" i="1"/>
  <c r="I17" i="1" s="1"/>
  <c r="T16" i="1"/>
  <c r="Q16" i="1"/>
  <c r="T15" i="1"/>
  <c r="Q15" i="1"/>
  <c r="T14" i="1"/>
  <c r="Q14" i="1"/>
  <c r="AA15" i="1" s="1"/>
  <c r="Z15" i="1" s="1"/>
  <c r="T13" i="1"/>
  <c r="Q13" i="1"/>
  <c r="T12" i="1"/>
  <c r="T11" i="1"/>
  <c r="Q11" i="1"/>
  <c r="K11" i="1"/>
  <c r="L11" i="1" s="1"/>
  <c r="H11" i="1"/>
  <c r="I11" i="1" s="1"/>
  <c r="AA16" i="1" l="1"/>
  <c r="Z16" i="1" s="1"/>
  <c r="AB16" i="1" s="1"/>
  <c r="AA39" i="1"/>
  <c r="Z39" i="1" s="1"/>
  <c r="Y23" i="1"/>
  <c r="Y24" i="1" s="1"/>
  <c r="X24" i="1" s="1"/>
  <c r="Y22" i="1"/>
  <c r="X22" i="1" s="1"/>
  <c r="AB22" i="1" s="1"/>
  <c r="Y40" i="1"/>
  <c r="X40" i="1" s="1"/>
  <c r="Y16" i="1"/>
  <c r="X16" i="1" s="1"/>
  <c r="Y13" i="1"/>
  <c r="X13" i="1" s="1"/>
  <c r="Y17" i="1"/>
  <c r="Y18" i="1" s="1"/>
  <c r="Y21" i="1"/>
  <c r="X21" i="1" s="1"/>
  <c r="AB21" i="1" s="1"/>
  <c r="M29" i="1"/>
  <c r="AA35" i="1"/>
  <c r="Z35" i="1" s="1"/>
  <c r="AB35" i="1" s="1"/>
  <c r="Y38" i="1"/>
  <c r="X38" i="1" s="1"/>
  <c r="AA40" i="1"/>
  <c r="Z40" i="1" s="1"/>
  <c r="Y15" i="1"/>
  <c r="X15" i="1" s="1"/>
  <c r="AB15" i="1" s="1"/>
  <c r="AA11" i="1"/>
  <c r="Z11" i="1" s="1"/>
  <c r="Y14" i="1"/>
  <c r="X14" i="1" s="1"/>
  <c r="Y11" i="1"/>
  <c r="X11" i="1" s="1"/>
  <c r="Y20" i="1"/>
  <c r="X20" i="1" s="1"/>
  <c r="AA23" i="1"/>
  <c r="Z23" i="1" s="1"/>
  <c r="AA28" i="1"/>
  <c r="Z28" i="1" s="1"/>
  <c r="AA34" i="1"/>
  <c r="Z34" i="1" s="1"/>
  <c r="Y34" i="1"/>
  <c r="X34" i="1" s="1"/>
  <c r="Y39" i="1"/>
  <c r="X39" i="1" s="1"/>
  <c r="Y28" i="1"/>
  <c r="X28" i="1" s="1"/>
  <c r="AA29" i="1"/>
  <c r="Z29" i="1" s="1"/>
  <c r="Y36" i="1"/>
  <c r="X36" i="1" s="1"/>
  <c r="AA38" i="1"/>
  <c r="Z38" i="1" s="1"/>
  <c r="M35" i="1"/>
  <c r="Y29" i="1"/>
  <c r="X29" i="1" s="1"/>
  <c r="M23" i="1"/>
  <c r="AA17" i="1"/>
  <c r="Z17" i="1" s="1"/>
  <c r="M17" i="1"/>
  <c r="AA20" i="1"/>
  <c r="Z20" i="1" s="1"/>
  <c r="AA18" i="1"/>
  <c r="Z18" i="1" s="1"/>
  <c r="AA14" i="1"/>
  <c r="Z14" i="1" s="1"/>
  <c r="M11" i="1"/>
  <c r="AA13" i="1"/>
  <c r="Z13" i="1" s="1"/>
  <c r="AB13" i="1" s="1"/>
  <c r="AA12" i="1"/>
  <c r="Z12" i="1" s="1"/>
  <c r="Y30" i="1" l="1"/>
  <c r="AB39" i="1"/>
  <c r="AA24" i="1"/>
  <c r="Z24" i="1" s="1"/>
  <c r="AB24" i="1" s="1"/>
  <c r="Y37" i="1"/>
  <c r="X37" i="1" s="1"/>
  <c r="Y25" i="1"/>
  <c r="X25" i="1" s="1"/>
  <c r="X23" i="1"/>
  <c r="AB23" i="1" s="1"/>
  <c r="X17" i="1"/>
  <c r="AB17" i="1" s="1"/>
  <c r="AB40" i="1"/>
  <c r="Y12" i="1"/>
  <c r="X12" i="1" s="1"/>
  <c r="AB12" i="1" s="1"/>
  <c r="AB28" i="1"/>
  <c r="AB20" i="1"/>
  <c r="AB34" i="1"/>
  <c r="AA36" i="1"/>
  <c r="X18" i="1"/>
  <c r="AB18" i="1" s="1"/>
  <c r="Y19" i="1"/>
  <c r="X19" i="1" s="1"/>
  <c r="AB38" i="1"/>
  <c r="AA25" i="1"/>
  <c r="Z25" i="1" s="1"/>
  <c r="AB14" i="1"/>
  <c r="AB11" i="1"/>
  <c r="AB29" i="1"/>
  <c r="AA30" i="1"/>
  <c r="Z30" i="1" s="1"/>
  <c r="AA19" i="1"/>
  <c r="Z19" i="1" s="1"/>
  <c r="AA31" i="1" l="1"/>
  <c r="Z31" i="1" s="1"/>
  <c r="X30" i="1"/>
  <c r="AB30" i="1" s="1"/>
  <c r="Y31" i="1"/>
  <c r="Z36" i="1"/>
  <c r="AB36" i="1" s="1"/>
  <c r="AA37" i="1"/>
  <c r="Z37" i="1" s="1"/>
  <c r="AB37" i="1" s="1"/>
  <c r="Y26" i="1"/>
  <c r="AB25" i="1"/>
  <c r="AB19" i="1"/>
  <c r="AA26" i="1"/>
  <c r="Z26" i="1" s="1"/>
  <c r="AA32" i="1" l="1"/>
  <c r="Z32" i="1" s="1"/>
  <c r="X31" i="1"/>
  <c r="AB31" i="1" s="1"/>
  <c r="Y32" i="1"/>
  <c r="X26" i="1"/>
  <c r="AB26" i="1" s="1"/>
  <c r="Y27" i="1"/>
  <c r="X27" i="1" s="1"/>
  <c r="AA27" i="1"/>
  <c r="Z27" i="1" s="1"/>
  <c r="AB27" i="1" s="1"/>
  <c r="AA33" i="1" l="1"/>
  <c r="Z33" i="1" s="1"/>
  <c r="X32" i="1"/>
  <c r="AB32" i="1" s="1"/>
  <c r="Y33" i="1"/>
  <c r="X33" i="1" s="1"/>
  <c r="AB33" i="1" s="1"/>
  <c r="K53" i="1"/>
  <c r="K47" i="1"/>
  <c r="K41" i="1"/>
  <c r="F221" i="13" l="1"/>
  <c r="F211" i="13"/>
  <c r="F212" i="13"/>
  <c r="F213" i="13"/>
  <c r="F214" i="13"/>
  <c r="F215" i="13"/>
  <c r="F216" i="13"/>
  <c r="F217" i="13"/>
  <c r="F218" i="13"/>
  <c r="F219" i="13"/>
  <c r="F220" i="13"/>
  <c r="F210" i="13"/>
  <c r="B221" i="13" a="1"/>
  <c r="B221" i="13" l="1"/>
  <c r="AL43" i="18" l="1"/>
  <c r="AJ43" i="18"/>
  <c r="AF43" i="18"/>
  <c r="AD43" i="18"/>
  <c r="Z43" i="18"/>
  <c r="X43" i="18"/>
  <c r="T43" i="18"/>
  <c r="R43" i="18"/>
  <c r="N43" i="18"/>
  <c r="L43" i="18"/>
  <c r="AL35" i="18"/>
  <c r="AJ35" i="18"/>
  <c r="AF35" i="18"/>
  <c r="AD35" i="18"/>
  <c r="Z35" i="18"/>
  <c r="X35" i="18"/>
  <c r="T35" i="18"/>
  <c r="R35" i="18"/>
  <c r="N35" i="18"/>
  <c r="L35" i="18"/>
  <c r="AL27" i="18"/>
  <c r="AJ27" i="18"/>
  <c r="AF27" i="18"/>
  <c r="AD27" i="18"/>
  <c r="Z27" i="18"/>
  <c r="X27" i="18"/>
  <c r="T27" i="18"/>
  <c r="R27" i="18"/>
  <c r="N27" i="18"/>
  <c r="L27" i="18"/>
  <c r="AL19" i="18"/>
  <c r="AJ19" i="18"/>
  <c r="AF19" i="18"/>
  <c r="AD19" i="18"/>
  <c r="Z19" i="18"/>
  <c r="X19" i="18"/>
  <c r="T19" i="18"/>
  <c r="R19" i="18"/>
  <c r="N19" i="18"/>
  <c r="L19" i="18"/>
  <c r="AL11" i="18"/>
  <c r="AJ11" i="18"/>
  <c r="AF11" i="18"/>
  <c r="AD11" i="18"/>
  <c r="Z11" i="18"/>
  <c r="X11" i="18"/>
  <c r="T11" i="18"/>
  <c r="R11" i="18"/>
  <c r="N11" i="18"/>
  <c r="L11" i="18"/>
  <c r="H210" i="13"/>
  <c r="T58" i="1" l="1"/>
  <c r="Q58" i="1"/>
  <c r="T57" i="1"/>
  <c r="Q57" i="1"/>
  <c r="T56" i="1"/>
  <c r="Q56" i="1"/>
  <c r="T55" i="1"/>
  <c r="Q55" i="1"/>
  <c r="AA56" i="1" s="1"/>
  <c r="T54" i="1"/>
  <c r="T53" i="1"/>
  <c r="H53" i="1"/>
  <c r="I53" i="1" s="1"/>
  <c r="T52" i="1"/>
  <c r="Q52" i="1"/>
  <c r="T51" i="1"/>
  <c r="Q51" i="1"/>
  <c r="T50" i="1"/>
  <c r="Q50" i="1"/>
  <c r="T49" i="1"/>
  <c r="Q49" i="1"/>
  <c r="T48" i="1"/>
  <c r="AA49" i="1"/>
  <c r="T47" i="1"/>
  <c r="H47" i="1"/>
  <c r="I47" i="1" s="1"/>
  <c r="T46" i="1"/>
  <c r="Q46" i="1"/>
  <c r="T45" i="1"/>
  <c r="Q45" i="1"/>
  <c r="T44" i="1"/>
  <c r="Q44" i="1"/>
  <c r="AA45" i="1" s="1"/>
  <c r="T43" i="1"/>
  <c r="Q43" i="1"/>
  <c r="T42" i="1"/>
  <c r="T41" i="1"/>
  <c r="H41" i="1"/>
  <c r="I41" i="1" s="1"/>
  <c r="Y41" i="1" l="1"/>
  <c r="X41" i="1" s="1"/>
  <c r="AA58" i="1"/>
  <c r="AA51" i="1"/>
  <c r="AA55" i="1"/>
  <c r="AA57" i="1"/>
  <c r="AA54" i="1"/>
  <c r="AA48" i="1"/>
  <c r="AA50" i="1"/>
  <c r="AA52" i="1"/>
  <c r="AA43" i="1"/>
  <c r="AA44" i="1"/>
  <c r="AA46" i="1"/>
  <c r="Y43" i="1"/>
  <c r="X43" i="1" s="1"/>
  <c r="Y45" i="1"/>
  <c r="X45" i="1" s="1"/>
  <c r="Y53" i="1"/>
  <c r="X53" i="1" s="1"/>
  <c r="Y54" i="1"/>
  <c r="X54" i="1" s="1"/>
  <c r="Y56" i="1"/>
  <c r="X56" i="1" s="1"/>
  <c r="Y58" i="1"/>
  <c r="X58" i="1" s="1"/>
  <c r="Y49" i="1"/>
  <c r="X49" i="1" s="1"/>
  <c r="Y51" i="1"/>
  <c r="X51" i="1" s="1"/>
  <c r="Y44" i="1"/>
  <c r="X44" i="1" s="1"/>
  <c r="Y46" i="1"/>
  <c r="X46" i="1" s="1"/>
  <c r="Y55" i="1"/>
  <c r="X55" i="1" s="1"/>
  <c r="Y57" i="1"/>
  <c r="X57" i="1" s="1"/>
  <c r="Y47" i="1"/>
  <c r="X47" i="1" s="1"/>
  <c r="Y48" i="1"/>
  <c r="X48" i="1" s="1"/>
  <c r="Y50" i="1"/>
  <c r="X50" i="1" s="1"/>
  <c r="Y52" i="1"/>
  <c r="X52" i="1" s="1"/>
  <c r="Y42" i="1" l="1"/>
  <c r="X4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B223" i="13" l="1"/>
  <c r="B222" i="13"/>
  <c r="Z41" i="18" l="1"/>
  <c r="N41" i="18"/>
  <c r="AF25" i="18"/>
  <c r="N25" i="18"/>
  <c r="AF17" i="18"/>
  <c r="T9" i="18"/>
  <c r="N33" i="18"/>
  <c r="T33" i="18"/>
  <c r="T17" i="18"/>
  <c r="Z17" i="18"/>
  <c r="Z9" i="18"/>
  <c r="AL17" i="18"/>
  <c r="Z25" i="18"/>
  <c r="M47" i="1"/>
  <c r="L47" i="1"/>
  <c r="AA47" i="1" s="1"/>
  <c r="T41" i="18"/>
  <c r="AF33" i="18"/>
  <c r="AL9" i="18"/>
  <c r="N17" i="18"/>
  <c r="N9" i="18"/>
  <c r="AL33" i="18"/>
  <c r="AL41" i="18"/>
  <c r="AF9" i="18"/>
  <c r="Z33" i="18"/>
  <c r="AF41" i="18"/>
  <c r="AL25" i="18"/>
  <c r="T25" i="18"/>
  <c r="AJ33" i="18"/>
  <c r="R33" i="18"/>
  <c r="R41" i="18"/>
  <c r="AJ25" i="18"/>
  <c r="X9" i="18"/>
  <c r="X41" i="18"/>
  <c r="L41" i="18"/>
  <c r="R17" i="18"/>
  <c r="R25" i="18"/>
  <c r="L33" i="18"/>
  <c r="X25" i="18"/>
  <c r="X33" i="18"/>
  <c r="AD17" i="18"/>
  <c r="AD33" i="18"/>
  <c r="L25" i="18"/>
  <c r="AJ9" i="18"/>
  <c r="L41" i="1"/>
  <c r="AA41" i="1" s="1"/>
  <c r="AA42" i="1" s="1"/>
  <c r="AJ41" i="18"/>
  <c r="AJ17" i="18"/>
  <c r="AD25" i="18"/>
  <c r="L9" i="18"/>
  <c r="AD9" i="18"/>
  <c r="X17" i="18"/>
  <c r="AD41" i="18"/>
  <c r="L17" i="18"/>
  <c r="R9" i="18"/>
  <c r="M41" i="1"/>
  <c r="L53" i="1"/>
  <c r="AA53" i="1" s="1"/>
  <c r="AB35" i="18"/>
  <c r="AH11" i="18"/>
  <c r="P27" i="18"/>
  <c r="AH19" i="18"/>
  <c r="P35" i="18"/>
  <c r="V11" i="18"/>
  <c r="AH27" i="18"/>
  <c r="AB19" i="18"/>
  <c r="J11" i="18"/>
  <c r="J19" i="18"/>
  <c r="M53" i="1"/>
  <c r="P43" i="18"/>
  <c r="AB43" i="18"/>
  <c r="V27" i="18"/>
  <c r="V35" i="18"/>
  <c r="J27" i="18"/>
  <c r="AH35" i="18"/>
  <c r="J43" i="18"/>
  <c r="P11" i="18"/>
  <c r="AB11" i="18"/>
  <c r="V43" i="18"/>
  <c r="AH43" i="18"/>
  <c r="V19" i="18"/>
  <c r="P19" i="18"/>
  <c r="J35" i="18"/>
  <c r="AB27" i="18"/>
  <c r="T37" i="18"/>
  <c r="AF21" i="18"/>
  <c r="N37" i="18"/>
  <c r="AF29" i="18"/>
  <c r="AL5" i="18"/>
  <c r="Z5" i="18"/>
  <c r="T13" i="18"/>
  <c r="T21" i="18"/>
  <c r="N5" i="18"/>
  <c r="AL29" i="18"/>
  <c r="Z21" i="18"/>
  <c r="Z13" i="18"/>
  <c r="Z29" i="18"/>
  <c r="AL37" i="18"/>
  <c r="AL13" i="18"/>
  <c r="AF5" i="18"/>
  <c r="AL21" i="18"/>
  <c r="T29" i="18"/>
  <c r="Z37" i="18"/>
  <c r="AF13" i="18"/>
  <c r="N29" i="18"/>
  <c r="N13" i="18"/>
  <c r="N21" i="18"/>
  <c r="AF37" i="18"/>
  <c r="T5" i="18"/>
  <c r="X31" i="18"/>
  <c r="AD31" i="18"/>
  <c r="AJ7" i="18"/>
  <c r="L15" i="18"/>
  <c r="R31" i="18"/>
  <c r="AJ31" i="18"/>
  <c r="R39" i="18"/>
  <c r="AJ39" i="18"/>
  <c r="AD23" i="18"/>
  <c r="AJ23" i="18"/>
  <c r="R23" i="18"/>
  <c r="AJ15" i="18"/>
  <c r="AD7" i="18"/>
  <c r="L31" i="18"/>
  <c r="L39" i="18"/>
  <c r="R15" i="18"/>
  <c r="L23" i="18"/>
  <c r="AD15" i="18"/>
  <c r="L7" i="18"/>
  <c r="R7" i="18"/>
  <c r="X39" i="18"/>
  <c r="X7" i="18"/>
  <c r="X15" i="18"/>
  <c r="AD39" i="18"/>
  <c r="X23" i="18"/>
  <c r="J39" i="18"/>
  <c r="J15" i="18"/>
  <c r="P15" i="18"/>
  <c r="V7" i="18"/>
  <c r="J7" i="18"/>
  <c r="J23" i="18"/>
  <c r="AH15" i="18"/>
  <c r="AB15" i="18"/>
  <c r="AB39" i="18"/>
  <c r="P31" i="18"/>
  <c r="P39" i="18"/>
  <c r="AH23" i="18"/>
  <c r="AB31" i="18"/>
  <c r="J31" i="18"/>
  <c r="V15" i="18"/>
  <c r="V39" i="18"/>
  <c r="AH31" i="18"/>
  <c r="V23" i="18"/>
  <c r="V31" i="18"/>
  <c r="AH7" i="18"/>
  <c r="AB7" i="18"/>
  <c r="P7" i="18"/>
  <c r="AH39" i="18"/>
  <c r="AB23" i="18"/>
  <c r="P23" i="18"/>
  <c r="AD37" i="18"/>
  <c r="L29" i="18"/>
  <c r="AD29" i="18"/>
  <c r="AJ5" i="18"/>
  <c r="L13" i="18"/>
  <c r="L21" i="18"/>
  <c r="X5" i="18"/>
  <c r="L5" i="18"/>
  <c r="R37" i="18"/>
  <c r="AJ37" i="18"/>
  <c r="L37" i="18"/>
  <c r="AD5" i="18"/>
  <c r="R5" i="18"/>
  <c r="AJ29" i="18"/>
  <c r="R29" i="18"/>
  <c r="AD21" i="18"/>
  <c r="AJ13" i="18"/>
  <c r="AJ21" i="18"/>
  <c r="AD13" i="18"/>
  <c r="X37" i="18"/>
  <c r="X13" i="18"/>
  <c r="R21" i="18"/>
  <c r="X21" i="18"/>
  <c r="R13" i="18"/>
  <c r="X29" i="18"/>
  <c r="J5" i="18"/>
  <c r="AB37" i="18"/>
  <c r="AH29" i="18"/>
  <c r="P13" i="18"/>
  <c r="AH13" i="18"/>
  <c r="AB21" i="18"/>
  <c r="J29" i="18"/>
  <c r="J37" i="18"/>
  <c r="P29" i="18"/>
  <c r="P21" i="18"/>
  <c r="J21" i="18"/>
  <c r="V21" i="18"/>
  <c r="AH37" i="18"/>
  <c r="V29" i="18"/>
  <c r="P37" i="18"/>
  <c r="AH5" i="18"/>
  <c r="AH21" i="18"/>
  <c r="AB29" i="18"/>
  <c r="V37" i="18"/>
  <c r="V13" i="18"/>
  <c r="J13" i="18"/>
  <c r="AB13" i="18"/>
  <c r="AB5" i="18"/>
  <c r="V5" i="18"/>
  <c r="P5" i="18"/>
  <c r="AH33" i="18"/>
  <c r="AH41" i="18"/>
  <c r="AH17" i="18"/>
  <c r="AB9" i="18"/>
  <c r="J25" i="18"/>
  <c r="V17" i="18"/>
  <c r="V41" i="18"/>
  <c r="J41" i="18"/>
  <c r="P9" i="18"/>
  <c r="AB25" i="18"/>
  <c r="J33" i="18"/>
  <c r="J17" i="18"/>
  <c r="AH9" i="18"/>
  <c r="AB33" i="18"/>
  <c r="P25" i="18"/>
  <c r="P33" i="18"/>
  <c r="V33" i="18"/>
  <c r="AH25" i="18"/>
  <c r="J9" i="18"/>
  <c r="P17" i="18"/>
  <c r="AB41" i="18"/>
  <c r="V9" i="18"/>
  <c r="AB17" i="18"/>
  <c r="P41" i="18"/>
  <c r="V25" i="18"/>
  <c r="Z31" i="18"/>
  <c r="N23" i="18"/>
  <c r="AL31" i="18"/>
  <c r="AL39" i="18"/>
  <c r="N7" i="18"/>
  <c r="AF23" i="18"/>
  <c r="Z39" i="18"/>
  <c r="Z15" i="18"/>
  <c r="N31" i="18"/>
  <c r="T31" i="18"/>
  <c r="N39" i="18"/>
  <c r="T7" i="18"/>
  <c r="AF31" i="18"/>
  <c r="AL7" i="18"/>
  <c r="T23" i="18"/>
  <c r="N15" i="18"/>
  <c r="T15" i="18"/>
  <c r="Z23" i="18"/>
  <c r="AF15" i="18"/>
  <c r="T39" i="18"/>
  <c r="AF7" i="18"/>
  <c r="AL23" i="18"/>
  <c r="Z7" i="18"/>
  <c r="AF39" i="18"/>
  <c r="AL15" i="18"/>
  <c r="Z53" i="1" l="1"/>
  <c r="Z41" i="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AB53" i="1"/>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4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Z47" i="1"/>
  <c r="Z5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Z55"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Z42" i="1"/>
  <c r="Z48" i="1"/>
  <c r="AJ21" i="19" l="1"/>
  <c r="W37" i="19"/>
  <c r="AI7" i="19"/>
  <c r="W17" i="19"/>
  <c r="W27" i="19"/>
  <c r="Q47" i="19"/>
  <c r="W7" i="19"/>
  <c r="AI17" i="19"/>
  <c r="K47" i="19"/>
  <c r="AI47" i="19"/>
  <c r="Q27" i="19"/>
  <c r="AC27" i="19"/>
  <c r="AC47" i="19"/>
  <c r="AC37" i="19"/>
  <c r="AI37" i="19"/>
  <c r="AC17" i="19"/>
  <c r="K37" i="19"/>
  <c r="AC7" i="19"/>
  <c r="W47" i="19"/>
  <c r="Q37" i="19"/>
  <c r="AI27" i="19"/>
  <c r="Q7" i="19"/>
  <c r="K27" i="19"/>
  <c r="K17" i="19"/>
  <c r="K7" i="19"/>
  <c r="Q17" i="19"/>
  <c r="Z56" i="1"/>
  <c r="K35" i="19"/>
  <c r="AC25" i="19"/>
  <c r="K45" i="19"/>
  <c r="AI45" i="19"/>
  <c r="W45" i="19"/>
  <c r="Q35" i="19"/>
  <c r="K55" i="19"/>
  <c r="AC15" i="19"/>
  <c r="Q15" i="19"/>
  <c r="AC35" i="19"/>
  <c r="AI35" i="19"/>
  <c r="Q55" i="19"/>
  <c r="AI25" i="19"/>
  <c r="AB5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B4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B5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B4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Z43"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Z49"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B42"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1" i="19" l="1"/>
  <c r="X11" i="19"/>
  <c r="X51" i="19"/>
  <c r="L41" i="19"/>
  <c r="AD41" i="19"/>
  <c r="AD51" i="19"/>
  <c r="X31" i="19"/>
  <c r="R31" i="19"/>
  <c r="L11" i="19"/>
  <c r="R21" i="19"/>
  <c r="R51" i="19"/>
  <c r="AJ41" i="19"/>
  <c r="L51" i="19"/>
  <c r="AJ31" i="19"/>
  <c r="R11" i="19"/>
  <c r="L21" i="19"/>
  <c r="AJ51" i="19"/>
  <c r="AD31" i="19"/>
  <c r="AD21" i="19"/>
  <c r="X41" i="19"/>
  <c r="L31" i="19"/>
  <c r="X21" i="19"/>
  <c r="AD11" i="19"/>
  <c r="AJ11"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Z44" i="1"/>
  <c r="Z57" i="1"/>
  <c r="Z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B43" i="1"/>
  <c r="X23" i="19"/>
  <c r="R33" i="19"/>
  <c r="R43" i="19"/>
  <c r="AD53" i="19"/>
  <c r="AJ13" i="19"/>
  <c r="R23" i="19"/>
  <c r="R13" i="19"/>
  <c r="AJ53" i="19"/>
  <c r="L33" i="19"/>
  <c r="L23" i="19"/>
  <c r="X43" i="19"/>
  <c r="X53" i="19"/>
  <c r="AD13" i="19"/>
  <c r="L53" i="19"/>
  <c r="L13" i="19"/>
  <c r="AD23" i="19"/>
  <c r="AJ33" i="19"/>
  <c r="AJ23" i="19"/>
  <c r="R53" i="19"/>
  <c r="M55" i="19"/>
  <c r="AK15" i="19"/>
  <c r="AE25" i="19"/>
  <c r="AB5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Z50"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B49"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B50"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B58"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B5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Z45" i="1"/>
  <c r="Z46"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Z51" i="1"/>
  <c r="Z52"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B44"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B52" i="1"/>
  <c r="AA14" i="19"/>
  <c r="O54" i="19"/>
  <c r="U44" i="19"/>
  <c r="U43" i="19"/>
  <c r="U13" i="19"/>
  <c r="AM53" i="19"/>
  <c r="AA53" i="19"/>
  <c r="AA43" i="19"/>
  <c r="O53" i="19"/>
  <c r="O23" i="19"/>
  <c r="O13" i="19"/>
  <c r="AG43" i="19"/>
  <c r="U33" i="19"/>
  <c r="U23" i="19"/>
  <c r="AM13" i="19"/>
  <c r="AM23" i="19"/>
  <c r="AG13" i="19"/>
  <c r="AA23" i="19"/>
  <c r="AG33" i="19"/>
  <c r="AA33" i="19"/>
  <c r="AM33" i="19"/>
  <c r="AA13" i="19"/>
  <c r="AB4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B51" i="1"/>
  <c r="AF53" i="19"/>
  <c r="T43" i="19"/>
  <c r="Z53" i="19"/>
  <c r="N43" i="19"/>
  <c r="T23" i="19"/>
  <c r="AF43" i="19"/>
  <c r="Z13" i="19"/>
  <c r="Z43" i="19"/>
  <c r="AF23" i="19"/>
  <c r="AL13" i="19"/>
  <c r="Z23" i="19"/>
  <c r="AL43" i="19"/>
  <c r="AF13" i="19"/>
  <c r="AL23" i="19"/>
  <c r="N13" i="19"/>
  <c r="T33" i="19"/>
  <c r="AL53" i="19"/>
  <c r="N23" i="19"/>
  <c r="N53" i="19"/>
  <c r="AF33" i="19"/>
  <c r="N33" i="19"/>
  <c r="AB45"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<sst xmlns="http://schemas.openxmlformats.org/spreadsheetml/2006/main" count="705" uniqueCount="329">
  <si>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</si>
  <si>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</si>
  <si>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</si>
  <si>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</si>
  <si>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</si>
  <si>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</si>
  <si>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</si>
  <si>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</si>
  <si>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</si>
  <si>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</si>
  <si>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</si>
  <si>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</si>
  <si>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</si>
  <si>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</si>
  <si>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</si>
  <si>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</si>
  <si>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</si>
  <si>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</si>
  <si>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</si>
  <si>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</si>
  <si>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</si>
  <si>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</si>
  <si>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</si>
  <si>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</si>
  <si>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</si>
  <si>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</si>
  <si>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</si>
  <si>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</si>
  <si>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</si>
  <si>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</si>
  <si>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</si>
  <si>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</si>
  <si>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</si>
  <si>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</si>
  <si>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</si>
  <si>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</si>
  <si>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</si>
  <si>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</si>
  <si>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</si>
  <si>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</si>
  <si>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</si>
  <si>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</si>
  <si>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</si>
  <si>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</si>
  <si>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</si>
  <si>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</si>
  <si>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</si>
  <si>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</si>
  <si>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</si>
  <si>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</si>
  <si>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</si>
  <si>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</si>
  <si>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</si>
  <si>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</si>
  <si>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</si>
  <si>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</si>
  <si>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</si>
  <si>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</si>
  <si>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</si>
  <si>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</si>
  <si>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</si>
  <si>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</si>
  <si>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</si>
  <si>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</si>
  <si>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</si>
  <si>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</si>
  <si>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</si>
  <si>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</si>
  <si>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</si>
  <si>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</si>
  <si>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</si>
  <si>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</si>
  <si>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</si>
  <si>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</si>
  <si>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</si>
  <si>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</si>
  <si>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</si>
  <si>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</si>
  <si>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</si>
  <si>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</si>
  <si>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</si>
  <si>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</si>
  <si>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</si>
  <si>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</si>
  <si>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</si>
  <si>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</si>
  <si>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</si>
  <si>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</si>
  <si>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</si>
  <si>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</si>
  <si>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</si>
  <si>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</si>
  <si>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</si>
  <si>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</si>
  <si>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</si>
  <si>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</si>
  <si>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</si>
  <si>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</si>
  <si>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</si>
  <si>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</si>
  <si>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</si>
  <si>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</si>
  <si>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</si>
  <si>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</si>
  <si>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</si>
  <si>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</si>
  <si>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</si>
  <si>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</si>
  <si>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</si>
  <si>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</si>
  <si>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</si>
  <si>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</si>
  <si>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</si>
  <si>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</si>
  <si>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</si>
  <si>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</si>
  <si>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</si>
  <si>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</si>
  <si>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</si>
  <si>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</si>
  <si>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</si>
  <si>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</si>
  <si>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</si>
  <si>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</si>
  <si>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</si>
  <si>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</si>
  <si>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</si>
  <si>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</si>
  <si>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</si>
  <si>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</si>
  <si>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</si>
  <si>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</si>
  <si>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</si>
  <si>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</si>
  <si>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</si>
  <si>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</si>
  <si>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</si>
  <si>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</si>
  <si>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</si>
  <si>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</si>
  <si>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</si>
  <si>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</si>
  <si>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</si>
  <si>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</si>
  <si>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</si>
  <si>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</si>
  <si>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</si>
  <si>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</si>
  <si>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</si>
  <si>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</si>
  <si>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</si>
  <si>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</si>
  <si>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</si>
  <si>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</si>
  <si>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</si>
  <si>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</si>
  <si>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</si>
  <si>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</si>
  <si>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</si>
  <si>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</si>
  <si>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</si>
  <si>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</si>
  <si>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</si>
  <si>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</si>
  <si>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</si>
  <si>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</si>
  <si>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</si>
  <si>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</si>
  <si>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</si>
  <si>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</si>
  <si>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</si>
  <si>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</si>
  <si>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</si>
  <si>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</si>
  <si>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</si>
  <si>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</si>
  <si>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</si>
  <si>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</si>
  <si>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</si>
  <si>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</si>
  <si>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</si>
  <si>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</si>
  <si>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</si>
  <si>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</si>
  <si>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</si>
  <si>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</si>
  <si>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</si>
  <si>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</si>
  <si>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</si>
  <si>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</si>
  <si>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</si>
  <si>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</si>
  <si>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</si>
  <si>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</si>
  <si>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</si>
  <si>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</si>
  <si>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</si>
  <si>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</si>
  <si>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</si>
  <si>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</si>
  <si>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</si>
  <si>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</si>
  <si>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</si>
  <si>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</si>
  <si>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Serviciudad E.S.P.</t>
  </si>
  <si>
    <t>Código CIFO -01</t>
  </si>
  <si>
    <t xml:space="preserve">Mapa de Riesgos </t>
  </si>
  <si>
    <t>Página 1 de 1</t>
  </si>
  <si>
    <t>Analice las consecuencias que puede ocasionar a la organización la materialización del riesgo, redacte de la forma más concreta posible. (Responde al "Qué").</t>
  </si>
  <si>
    <t>Causa  principal  o básica, corresponde a las razones por la cuales se puede presentar  el riesgo, redacte de la forma más concreta posible. (Responde al "Por Qué").</t>
  </si>
  <si>
    <t>Circunstancias bajo las cuales se presenta el riesgo, pero no constituyen la causa principal o base para que se presente el riesgo, es la situación más evidente frente al riesgo, redacte de la forma más concreta posible. (Responde al "Cómo").</t>
  </si>
  <si>
    <t>Acción</t>
  </si>
  <si>
    <t xml:space="preserve">Menor 40% </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</si>
  <si>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</si>
  <si>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</si>
  <si>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</si>
  <si>
    <t>Versión
04</t>
  </si>
  <si>
    <t>Ejecución y administración de procesos</t>
  </si>
  <si>
    <t>Fraude externo</t>
  </si>
  <si>
    <t>Fraude interno</t>
  </si>
  <si>
    <t>Fallas tecnológicas</t>
  </si>
  <si>
    <t>Relaciones laborales</t>
  </si>
  <si>
    <t>Usuarios, productos y prácticas</t>
  </si>
  <si>
    <t>Daños a activos fijos/ eventos externos</t>
  </si>
  <si>
    <t>Pérdidas derivadas de errores en la ejecución y administración de procesos.</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</si>
  <si>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</si>
  <si>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</si>
  <si>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</si>
  <si>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</si>
  <si>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</si>
  <si>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Pérdida por daños o extravíos de los activos fijos por desastres naturales u otros riesgos/eventos externos como atentados, vandalismo, orden público.</t>
  </si>
  <si>
    <t>Profesional planta de tratamiento</t>
  </si>
  <si>
    <t>Fiscales</t>
  </si>
  <si>
    <t>Menor a 10 SMLMV .</t>
  </si>
  <si>
    <t>La imagen de alguna área de la organización</t>
  </si>
  <si>
    <t>La imagen de la entidad internamente, de conocimiento general, nivel interno, de junta dircetiva y accionistas y/o de provedores</t>
  </si>
  <si>
    <t>La imagen de la entidad con algunos usuarios de relevancia frente al logro de los objetivos</t>
  </si>
  <si>
    <t>La imagen de de la entidad con efecto publicitario sostenido a nivel de sector administrativo, nivel departamental o municipal</t>
  </si>
  <si>
    <t>La imagen de la entidad a nivel nacional, con efecto publicitarios sostenible a nivel país</t>
  </si>
  <si>
    <t>Tecnico Calidad de Agua.</t>
  </si>
  <si>
    <t>Posibilidad de pérdida economica y reputacional por incumplimiento de las normas legales y tecnicas del laboratorio en el ejercicio de su funcion.</t>
  </si>
  <si>
    <t>Acueducto- Laboratorio Control de calidad del agua</t>
  </si>
  <si>
    <t>Prestacion de solicitudes de analisis dal laboratorio de calidad del agua proveniente de diversas dependencias de la entidad , entidades de vigilancia y usuarios externos, hasta la entrega de informes de resultados.</t>
  </si>
  <si>
    <t>Tecnico calidad de agua</t>
  </si>
  <si>
    <t>Tecnico calidad del agua</t>
  </si>
  <si>
    <t>Diario</t>
  </si>
  <si>
    <t>Septiembre de 2023</t>
  </si>
  <si>
    <t>Mayo  de 2024</t>
  </si>
  <si>
    <t>Posibilidad de afectacion economica y reputacional por incumplimiento en la ejecucion del plan de matenimiento y calibracion de equipos.</t>
  </si>
  <si>
    <t>Elaborar la matriz de selección de proveedores para verificacion de cumplimiento de requisitos.</t>
  </si>
  <si>
    <t>Mayo de 2024</t>
  </si>
  <si>
    <t>Anual</t>
  </si>
  <si>
    <t>Evaluacion peridodica del estado de los equipos y seguimiento al cronograma de actividades del plan de mantenimiento.</t>
  </si>
  <si>
    <t>Posibilidad de afectación economica y reputacional por perdida o alteracion de la informacion almacenada en el software (SLAB).</t>
  </si>
  <si>
    <t>Contratista soporte software</t>
  </si>
  <si>
    <t>1. Negligencias internas en el proceso de contratacion.
2. Inoportunidad en la contratacion.         3. Incumplimiento en el cronograma de actividades del plan de mantenimiento.   4. Contratos de mantenimiento sin cumplimiento de requisitos.</t>
  </si>
  <si>
    <t>1. Falta de contratacion del personal idoneo para el plan de mantenimiento.
2. Falta de planecion presupuestal para adquisicion y mantenimento de equipos de laboratorio.
3. Incumplimiento por parte del contratista en la ejecucion del contrato.
4. Demoras en la contratación de proveedores.</t>
  </si>
  <si>
    <t>Mensual</t>
  </si>
  <si>
    <t>Diligenciamiento de los formatos establecidos para los controles de calidad de los ensayos (analisis) acorde a los procedimientos e instructivos establecidos.</t>
  </si>
  <si>
    <t xml:space="preserve">Hacer el seguimiento a traves del formato de recepcion de muestra </t>
  </si>
  <si>
    <t>Capacitar al personal para la correcta rotulacion, manipulacion, almacenamiento y transporte de la muestra.</t>
  </si>
  <si>
    <t>Proceso de Induccion y Re induccion y socializacion de los valores corporativos</t>
  </si>
  <si>
    <t>Profesional en psicologia</t>
  </si>
  <si>
    <t>Profesional de psicologia</t>
  </si>
  <si>
    <t>Año 2022</t>
  </si>
  <si>
    <t>Profesional en Psicologia</t>
  </si>
  <si>
    <t>Proyeccion presupuestal desde la vigencia anterior para comprometer el recurso de manera que no se genere retrasos en la contratacion.</t>
  </si>
  <si>
    <t>Garantizar que los recursos presupuestados den cumplimiento a las necesidades del plan de mantenimiento y calibracion de equipos.</t>
  </si>
  <si>
    <t>Permanente</t>
  </si>
  <si>
    <t>Realizar la contratacion oportuna de la empresa encargada de realizar el plan de mantenimiento.</t>
  </si>
  <si>
    <t>Evaluacion y monitoreo del plan de mantenimiento y calibracion de equipos.</t>
  </si>
  <si>
    <t>1. Personal sin competencias para el manejo del sistema (SLAB).     2. Insuficientes recursos financieros para garantizar el servicio de sporte del software.     3. Incumplimiento del plan de seguridad y privacidad de la informacion.</t>
  </si>
  <si>
    <t>Disponibilidad presupuestal  para la adecuada contratacion del soporte tecnologico.</t>
  </si>
  <si>
    <t>Realizar la contratacion adecuada y a tiempo del soporte tecnologico para el software.</t>
  </si>
  <si>
    <t>Año 2021</t>
  </si>
  <si>
    <t>Tecnico de calidad del agua</t>
  </si>
  <si>
    <t>Comunicación asertiva con el proveedor del software en caso de presentarse errores en los resultados de la informacion.</t>
  </si>
  <si>
    <t>Realizar constante verificacion de los resultados para poder tener en tiempo real la informacion y poder identificar los errores que arroje el software</t>
  </si>
  <si>
    <t>Dar cumplimiento a las actividades establecidas en el plan de seguridad y privacidad de la informacion</t>
  </si>
  <si>
    <t>Realizar copias de seguridad frecuentes y almacenamiento en la nube.</t>
  </si>
  <si>
    <t>Semanal</t>
  </si>
  <si>
    <t>Llevar a cabo capacitaciones en el manejo del software al personal de laboratorio.</t>
  </si>
  <si>
    <t>Realizar cronograma de capacitaciones de manera que garantice la idoneidad del personal del laboratorio.</t>
  </si>
  <si>
    <t>Continuo</t>
  </si>
  <si>
    <t>1. Errores al momento de ingresar datos al software.
2. Perdida de la informacion en el sistema (SLAB).                        3. Entrega extemporanea de la informacion para ingreso al sistema.</t>
  </si>
  <si>
    <t xml:space="preserve">1. Por fallas en los equipos, software e internet.                                   
2. Por mala planificacion en el proceso de entrega de la informes al asuario.                                 3.Falta del personal idoneo para la elaboracion de informes de resultados.  </t>
  </si>
  <si>
    <t>Posibilidad de afectación economica y reputacional por incumplimiento en la entrega y veracidad de los informes de resultados al usuario.</t>
  </si>
  <si>
    <t>Seguimiento constante al plan de mantenimiento y al procedimiento de aseguramiento metrologico.</t>
  </si>
  <si>
    <t>Medicion del indicador de cumplimiento en entrega de resultados de laboratorio.</t>
  </si>
  <si>
    <t>Analisis de las variables que alimentan dicho indicador con el fin de determinar la eficiencia en la entrega de la informacion.</t>
  </si>
  <si>
    <t>Se contrasta la informacion entregada fisica y la digitalizada en el SLAB y al encontrar fallas se devuelve el proceso y se corrige para tener mayor efectividad.</t>
  </si>
  <si>
    <t>Por medio del software en la mesa de ayuda se genera el ticket con la creacion de la solicitud.</t>
  </si>
  <si>
    <t>Ejecucion efectiva del plan de mantenimiento y calibracion de los equipos soporte.</t>
  </si>
  <si>
    <t xml:space="preserve">Solicitar soporte de la mesa de ayuda del software para reportar fallas. </t>
  </si>
  <si>
    <t>Hacer seguimiento al registro de resultados primarios.</t>
  </si>
  <si>
    <t>1. Falta de formacion y capacitacion del personal del laboratorio.
2. Desconocimiento de procesos y procedimientos del laboratorio de calidad del agua.                    
3. Documentos del laboratorio obsoletos o desactualizados.            
4. Fallas en los equipos de medicion y ensayo.                                  5. Incumplimiento de los planes de auditoria para el laboratorio.</t>
  </si>
  <si>
    <t>1.Aplicacion inadecuada de los instructivos de ensayo.
2.Manipulacion de los resulatados del software.
3. Incumplimiento del plan de mantenimiento y calibracion de equipos.       4. Falta seguimiento a los controles de calidad          5. Desconocimiento de la normatividad vigente aplicable al proceso.</t>
  </si>
  <si>
    <t>Plan de mantenimiento de calibracion de los equipos.</t>
  </si>
  <si>
    <t>Verificacion del cumplimiento del plan.</t>
  </si>
  <si>
    <t>Revision de los formatos para verificar rangos de cumplimiento de los controles antes de ser ingresados al sistema de informacion (SLAB).</t>
  </si>
  <si>
    <t>Verificacion de los calculos de resultados</t>
  </si>
  <si>
    <t>Hacer una revision manual de las formulas de manera para verificar los resultados y contrastar la informacion con el sistema (SLAB).</t>
  </si>
  <si>
    <t>Garantizar el estado actual de los documentos  del laboratorio dando cumplimiento a los requisitos legales.</t>
  </si>
  <si>
    <t>Revisar y Actualizar documentos en el Sistema de Gestion de Calidad.</t>
  </si>
  <si>
    <t xml:space="preserve">1. Inadecuada rotulacion de la muestra.                                       2. Toma de muestras sin el cumplimiento de requisitos.                                                 3. Falta de conocimiento de la norma por parte de los funcionarios encargados. </t>
  </si>
  <si>
    <t>1. Fallas en la aplicacion del protocolo para la rotulacion de la muestra.                                           2. Mala aplicación del procedimiento  de toma de muestra.                                             3. Inadecuada manupulacion almacenamiento y transporte de la muestra por parte del personal encargado.                               4. Inadecuada manipulacion por parte del personal del laboratorio.</t>
  </si>
  <si>
    <t>Posibilidad de afectacion economica y reputacional por perdida de las muestras de calidad del agua.</t>
  </si>
  <si>
    <t>Socializar el procedimiento de toma de muetras y el procedimiento de referencia y contra referencia.</t>
  </si>
  <si>
    <t xml:space="preserve">Verificar el cumplimiento de referencia y contra referencia. </t>
  </si>
  <si>
    <t>1. Perdida de objetividad por parte de los funcionarios para realizar los analisis.                                             2. Presiones indebidas.                                                                     3. Incumplimiento del codigo de integridad.</t>
  </si>
  <si>
    <t>Garantizar la calidad y eficiencia en los procesos del laboratorio de agua de la empresa serviciudad ESP conforme a los rigurosos estandares de calidad establecidos por la NTC ISO/IEC 17025.</t>
  </si>
  <si>
    <t xml:space="preserve">1. Presiones externas a los funcionarios por parte de los clientes.                    2. Falta de etica del personal del laboratorio.                                      3. Alteraccion de resultados diferentes a los obtenidos.    </t>
  </si>
  <si>
    <t>Posibilida de afectacion econimica y reputacional por perdida de la imparcialidad en las actividades del laboratorio.</t>
  </si>
  <si>
    <t xml:space="preserve">Diligenciar el formato de imparcialidad. </t>
  </si>
  <si>
    <t>Al diligenciar el formato el personal asume la responsabilidad de imparcialidad y si incurre en algun hecho de fraude sera sancionado legalmente.</t>
  </si>
  <si>
    <t>Socializacion del codigo de integridad</t>
  </si>
  <si>
    <t>1. Falta de etica y apropiacion de valores por parte del personal del laboratorio.</t>
  </si>
  <si>
    <t>1. Incumplimiento del codigo de integridad</t>
  </si>
  <si>
    <t>Posibilidad de afectacion econimica y reputacional por divulgacion de informacion confidencial.</t>
  </si>
  <si>
    <t>Tenico  calidad del agua</t>
  </si>
  <si>
    <t>Generar compromisos para no revelar informacion con los procedimientos internos, resultados y el manejo interno del laboratorio.</t>
  </si>
  <si>
    <t>Diligenciar el formato compromiso de confidencialidad.</t>
  </si>
  <si>
    <t>Tecnico calidad del agua.</t>
  </si>
  <si>
    <t>Posibilidad de afectación econimica y reputacional por incumpliminto en los standares de calidad.</t>
  </si>
  <si>
    <t xml:space="preserve">1.Falta de competencia y destreza de los auditores internos.                   2. Desconocimiento de las normas vigentes aplicables al proceso.             3. No contar con la documentacion suficiente para realizar la auditoria.                        4. Perdida de la informacion.                                 </t>
  </si>
  <si>
    <t>1. Falta de personal idoneo para realizar las auditorias.                    
2. Generacion de informes deficientes que conllevan a una mala toma de decisiones e insuficiente conocimiento sobre el estado del sistema de gestion.
3.Falta de equipos necesarios e idoneos para llevar a cabo el proceso.                  4. Infraestructura  inadecuada sin  el cumplimiento de la norma.</t>
  </si>
  <si>
    <t>Dar cumplimiento total de los requisitos de la norma  ISO/IEC-17025.</t>
  </si>
  <si>
    <t>Llevar acabo las actividades del planear, hacer, verificar y actuar de la norma ISO/IEC-17025.</t>
  </si>
  <si>
    <t>1. Errores humanos al ingresar datos al sistema (SLAB).                    2. Fallas en el sistema de informacion (SLAB).      3. Ataque cibernetico y amenaza a  la seguridad de la informacion del sistema (SLAB).   4. Ausencia de copias de seguridad al sistema (SLAB).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</si>
</sst>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yyyy"/>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24"/>
      <color rgb="FF000000"/>
      <name val="Calibri"/>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indexed="8"/>
      <name val="Arial"/>
      <family val="2"/>
    </font>
    <font>
      <b/>
      <sz val="11"/>
      <color indexed="8"/>
      <name val="Arial"/>
      <family val="2"/>
    </font>
    <font>
      <b/>
      <sz val="48"/>
      <color indexed="8"/>
      <name val="Arial"/>
      <family val="2"/>
    </font>
    <font>
      <b/>
      <sz val="16"/>
      <color indexed="8"/>
      <name val="Arial"/>
      <family val="2"/>
    </font>
    <font>
      <b/>
      <sz val="24"/>
      <color indexed="8"/>
      <name val="Arial"/>
      <family val="2"/>
    </font>
    <font>
      <b/>
      <sz val="12"/>
      <color indexed="8"/>
      <name val="Arial"/>
      <family val="2"/>
    </font>
    <font>
      <b/>
      <sz val="28"/>
      <color theme="1"/>
      <name val="Arial Narrow"/>
      <family val="2"/>
    </font>
    <font>
      <b/>
      <sz val="28"/>
      <color theme="1"/>
      <name val="Calibri"/>
      <family val="2"/>
      <scheme val="minor"/>
    </font>
    <font>
      <b/>
      <sz val="20"/>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s>
  <cellStyleXfs count="4">
    <xf numFmtId="0" fontId="0" fillId="0" borderId="0"/>
    <xf numFmtId="0" fontId="41" fillId="0" borderId="0"/>
    <xf numFmtId="0" fontId="42" fillId="0" borderId="0"/>
    <xf numFmtId="0" fontId="5" fillId="0" borderId="0"/>
  </cellStyleXfs>
  <cellXfs count="4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4"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4" fillId="0" borderId="0" xfId="0" applyFont="1" applyFill="1" applyAlignment="1">
      <alignment vertical="center"/>
    </xf>
    <xf numFmtId="0" fontId="25" fillId="0" borderId="0" xfId="0" applyFont="1" applyFill="1"/>
    <xf numFmtId="0" fontId="23" fillId="0" borderId="0" xfId="0" applyFont="1"/>
    <xf numFmtId="0" fontId="0" fillId="0" borderId="0" xfId="0" pivotButton="1"/>
    <xf numFmtId="0" fontId="12" fillId="0" borderId="0" xfId="0" applyFont="1" applyBorder="1" applyAlignment="1">
      <alignment horizontal="justify" vertical="center" wrapText="1" readingOrder="1"/>
    </xf>
    <xf numFmtId="0" fontId="26" fillId="0" borderId="0" xfId="0" applyFont="1"/>
    <xf numFmtId="0" fontId="29" fillId="0" borderId="11"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11" xfId="0" applyFont="1" applyFill="1" applyBorder="1" applyAlignment="1">
      <alignment horizontal="center" vertical="center" wrapText="1" readingOrder="1"/>
    </xf>
    <xf numFmtId="0" fontId="29" fillId="6"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29" fillId="0" borderId="11"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0" fillId="3" borderId="0" xfId="0" applyFill="1"/>
    <xf numFmtId="0" fontId="43" fillId="3" borderId="46" xfId="1" applyFont="1" applyFill="1" applyBorder="1" applyProtection="1"/>
    <xf numFmtId="0" fontId="43" fillId="3" borderId="47" xfId="1" applyFont="1" applyFill="1" applyBorder="1" applyProtection="1"/>
    <xf numFmtId="0" fontId="43" fillId="3" borderId="48" xfId="1" applyFont="1" applyFill="1" applyBorder="1" applyProtection="1"/>
    <xf numFmtId="0" fontId="15" fillId="3" borderId="0" xfId="0" applyFont="1" applyFill="1" applyAlignment="1">
      <alignment vertical="center"/>
    </xf>
    <xf numFmtId="0" fontId="5" fillId="3" borderId="0" xfId="0" applyFont="1" applyFill="1"/>
    <xf numFmtId="0" fontId="32" fillId="3" borderId="0" xfId="0" applyFont="1" applyFill="1"/>
    <xf numFmtId="0" fontId="33" fillId="3" borderId="29" xfId="0" applyFont="1" applyFill="1" applyBorder="1" applyAlignment="1">
      <alignment horizontal="center" vertical="center" wrapText="1" readingOrder="1"/>
    </xf>
    <xf numFmtId="0" fontId="34" fillId="3" borderId="29" xfId="0" applyFont="1" applyFill="1" applyBorder="1" applyAlignment="1">
      <alignment horizontal="justify" vertical="center" wrapText="1" readingOrder="1"/>
    </xf>
    <xf numFmtId="9" fontId="33" fillId="3" borderId="38" xfId="0" applyNumberFormat="1"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xf numFmtId="0" fontId="34" fillId="3" borderId="28" xfId="0" applyFont="1" applyFill="1" applyBorder="1" applyAlignment="1">
      <alignment horizontal="justify" vertical="center" wrapText="1" readingOrder="1"/>
    </xf>
    <xf numFmtId="9" fontId="33" fillId="3" borderId="33" xfId="0" applyNumberFormat="1" applyFont="1" applyFill="1" applyBorder="1" applyAlignment="1">
      <alignment horizontal="center" vertical="center" wrapText="1" readingOrder="1"/>
    </xf>
    <xf numFmtId="0" fontId="34" fillId="3" borderId="33" xfId="0" applyFont="1" applyFill="1" applyBorder="1" applyAlignment="1">
      <alignment horizontal="center" vertical="center" wrapText="1" readingOrder="1"/>
    </xf>
    <xf numFmtId="0" fontId="33" fillId="3" borderId="35" xfId="0" applyFont="1" applyFill="1" applyBorder="1" applyAlignment="1">
      <alignment horizontal="center" vertical="center" wrapText="1" readingOrder="1"/>
    </xf>
    <xf numFmtId="0" fontId="34" fillId="3" borderId="35" xfId="0" applyFont="1" applyFill="1" applyBorder="1" applyAlignment="1">
      <alignment horizontal="justify" vertical="center" wrapText="1" readingOrder="1"/>
    </xf>
    <xf numFmtId="0" fontId="34" fillId="3" borderId="36" xfId="0" applyFont="1" applyFill="1" applyBorder="1" applyAlignment="1">
      <alignment horizontal="center" vertical="center" wrapText="1" readingOrder="1"/>
    </xf>
    <xf numFmtId="0" fontId="40" fillId="3" borderId="0" xfId="0" applyFont="1" applyFill="1"/>
    <xf numFmtId="0" fontId="13" fillId="3" borderId="0" xfId="0" applyFont="1" applyFill="1"/>
    <xf numFmtId="0" fontId="27"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3" fillId="3" borderId="14" xfId="1" applyFont="1" applyFill="1" applyBorder="1" applyProtection="1"/>
    <xf numFmtId="0" fontId="48" fillId="3" borderId="0" xfId="0" applyFont="1" applyFill="1" applyBorder="1" applyAlignment="1" applyProtection="1">
      <alignment horizontal="left" vertical="center" wrapText="1"/>
    </xf>
    <xf numFmtId="0" fontId="49" fillId="3" borderId="0" xfId="0" applyFont="1" applyFill="1" applyBorder="1" applyAlignment="1" applyProtection="1">
      <alignment horizontal="left" vertical="top" wrapText="1"/>
    </xf>
    <xf numFmtId="0" fontId="43" fillId="3" borderId="0" xfId="1" applyFont="1" applyFill="1" applyBorder="1" applyProtection="1"/>
    <xf numFmtId="0" fontId="43" fillId="3" borderId="15" xfId="1" applyFont="1" applyFill="1" applyBorder="1" applyProtection="1"/>
    <xf numFmtId="0" fontId="43" fillId="3" borderId="16" xfId="1" applyFont="1" applyFill="1" applyBorder="1" applyProtection="1"/>
    <xf numFmtId="0" fontId="43" fillId="3" borderId="18" xfId="1" applyFont="1" applyFill="1" applyBorder="1" applyProtection="1"/>
    <xf numFmtId="0" fontId="43" fillId="3" borderId="17" xfId="1" applyFont="1" applyFill="1" applyBorder="1" applyProtection="1"/>
    <xf numFmtId="0" fontId="47" fillId="3" borderId="0" xfId="1" applyFont="1" applyFill="1" applyBorder="1" applyAlignment="1" applyProtection="1">
      <alignment horizontal="left" vertical="center" wrapText="1"/>
    </xf>
    <xf numFmtId="0" fontId="43" fillId="3" borderId="0" xfId="1" applyFont="1" applyFill="1" applyBorder="1" applyAlignment="1" applyProtection="1">
      <alignment horizontal="left" vertical="center" wrapText="1"/>
    </xf>
    <xf numFmtId="0" fontId="43" fillId="3" borderId="0" xfId="1" quotePrefix="1" applyFont="1" applyFill="1" applyBorder="1" applyAlignment="1" applyProtection="1">
      <alignment horizontal="left" vertical="center" wrapText="1"/>
    </xf>
    <xf numFmtId="0" fontId="43" fillId="3" borderId="15" xfId="1" applyFont="1" applyFill="1" applyBorder="1" applyAlignment="1" applyProtection="1"/>
    <xf numFmtId="0" fontId="45" fillId="3" borderId="14" xfId="1" quotePrefix="1" applyFont="1" applyFill="1" applyBorder="1" applyAlignment="1" applyProtection="1">
      <alignment horizontal="left" vertical="top" wrapText="1"/>
    </xf>
    <xf numFmtId="0" fontId="46" fillId="3" borderId="0" xfId="1" quotePrefix="1" applyFont="1" applyFill="1" applyBorder="1" applyAlignment="1" applyProtection="1">
      <alignment horizontal="left" vertical="top" wrapText="1"/>
    </xf>
    <xf numFmtId="0" fontId="46" fillId="3" borderId="15" xfId="1" quotePrefix="1" applyFont="1" applyFill="1" applyBorder="1" applyAlignment="1" applyProtection="1">
      <alignment horizontal="left" vertical="top" wrapText="1"/>
    </xf>
    <xf numFmtId="0" fontId="52" fillId="0" borderId="0" xfId="3" applyFont="1"/>
    <xf numFmtId="0" fontId="4" fillId="13" borderId="2" xfId="0" applyFont="1" applyFill="1" applyBorder="1" applyAlignment="1">
      <alignment horizontal="center" vertical="center" textRotation="90"/>
    </xf>
    <xf numFmtId="0" fontId="33" fillId="13" borderId="40" xfId="0" applyFont="1" applyFill="1" applyBorder="1" applyAlignment="1">
      <alignment horizontal="center" vertical="center" wrapText="1" readingOrder="1"/>
    </xf>
    <xf numFmtId="0" fontId="33" fillId="13" borderId="41" xfId="0" applyFont="1" applyFill="1" applyBorder="1" applyAlignment="1">
      <alignment horizontal="center" vertical="center" wrapText="1" readingOrder="1"/>
    </xf>
    <xf numFmtId="0" fontId="9" fillId="14" borderId="0" xfId="0" applyFont="1" applyFill="1" applyAlignment="1">
      <alignment horizontal="center" vertical="center" wrapText="1" readingOrder="1"/>
    </xf>
    <xf numFmtId="0" fontId="28" fillId="14" borderId="0" xfId="0" applyFont="1" applyFill="1" applyAlignment="1">
      <alignment horizontal="center" vertical="center" wrapText="1" readingOrder="1"/>
    </xf>
    <xf numFmtId="0" fontId="1" fillId="15" borderId="2" xfId="0" applyFont="1" applyFill="1" applyBorder="1" applyAlignment="1" applyProtection="1">
      <alignment horizontal="center" vertical="center"/>
      <protection hidden="1"/>
    </xf>
    <xf numFmtId="9" fontId="1" fillId="15" borderId="2" xfId="0" applyNumberFormat="1" applyFont="1" applyFill="1" applyBorder="1" applyAlignment="1" applyProtection="1">
      <alignment horizontal="center" vertical="center"/>
      <protection hidden="1"/>
    </xf>
    <xf numFmtId="0" fontId="4" fillId="15" borderId="2" xfId="0" applyFont="1" applyFill="1" applyBorder="1" applyAlignment="1" applyProtection="1">
      <alignment horizontal="center" vertical="center" textRotation="90" wrapText="1"/>
      <protection hidden="1"/>
    </xf>
    <xf numFmtId="9" fontId="1" fillId="15" borderId="4" xfId="0" applyNumberFormat="1" applyFont="1" applyFill="1" applyBorder="1" applyAlignment="1" applyProtection="1">
      <alignment horizontal="center" vertical="center"/>
      <protection hidden="1"/>
    </xf>
    <xf numFmtId="0" fontId="4" fillId="15" borderId="2" xfId="0" applyFont="1" applyFill="1" applyBorder="1" applyAlignment="1" applyProtection="1">
      <alignment horizontal="center" vertical="center" textRotation="90"/>
      <protection hidden="1"/>
    </xf>
    <xf numFmtId="0" fontId="4" fillId="13" borderId="2" xfId="0" applyFont="1" applyFill="1" applyBorder="1" applyAlignment="1">
      <alignment horizontal="center" vertical="center" wrapText="1"/>
    </xf>
    <xf numFmtId="164" fontId="1" fillId="0" borderId="2" xfId="0" applyNumberFormat="1" applyFont="1" applyBorder="1" applyAlignment="1" applyProtection="1">
      <alignment horizontal="center" vertical="center"/>
      <protection locked="0"/>
    </xf>
    <xf numFmtId="0" fontId="48" fillId="3" borderId="74" xfId="0" applyFont="1" applyFill="1" applyBorder="1" applyAlignment="1" applyProtection="1">
      <alignment horizontal="left" vertical="center" wrapText="1"/>
    </xf>
    <xf numFmtId="0" fontId="4" fillId="13" borderId="2" xfId="0" applyFont="1" applyFill="1" applyBorder="1" applyAlignment="1">
      <alignment horizontal="center" vertical="center" textRotation="90" wrapText="1"/>
    </xf>
    <xf numFmtId="0" fontId="60" fillId="10" borderId="12" xfId="0" applyFont="1" applyFill="1" applyBorder="1" applyAlignment="1" applyProtection="1">
      <alignment horizontal="center" vertical="center" wrapText="1" readingOrder="1"/>
      <protection hidden="1"/>
    </xf>
    <xf numFmtId="0" fontId="60" fillId="10" borderId="19" xfId="0" applyFont="1" applyFill="1" applyBorder="1" applyAlignment="1" applyProtection="1">
      <alignment horizontal="center" vertical="center" wrapText="1" readingOrder="1"/>
      <protection hidden="1"/>
    </xf>
    <xf numFmtId="0" fontId="60" fillId="10" borderId="13" xfId="0" applyFont="1" applyFill="1" applyBorder="1" applyAlignment="1" applyProtection="1">
      <alignment horizontal="center" vertical="center" wrapText="1" readingOrder="1"/>
      <protection hidden="1"/>
    </xf>
    <xf numFmtId="0" fontId="60" fillId="10" borderId="14" xfId="0" applyFont="1" applyFill="1" applyBorder="1" applyAlignment="1" applyProtection="1">
      <alignment horizontal="center" vertical="center" wrapText="1" readingOrder="1"/>
      <protection hidden="1"/>
    </xf>
    <xf numFmtId="0" fontId="60" fillId="10" borderId="0" xfId="0" applyFont="1" applyFill="1" applyBorder="1" applyAlignment="1" applyProtection="1">
      <alignment horizontal="center" vertical="center" wrapText="1" readingOrder="1"/>
      <protection hidden="1"/>
    </xf>
    <xf numFmtId="0" fontId="60" fillId="10" borderId="15" xfId="0" applyFont="1" applyFill="1" applyBorder="1" applyAlignment="1" applyProtection="1">
      <alignment horizontal="center" vertical="center" wrapText="1" readingOrder="1"/>
      <protection hidden="1"/>
    </xf>
    <xf numFmtId="0" fontId="60" fillId="10" borderId="0" xfId="0" applyFont="1" applyFill="1" applyAlignment="1" applyProtection="1">
      <alignment horizontal="center" vertical="center" wrapText="1" readingOrder="1"/>
      <protection hidden="1"/>
    </xf>
    <xf numFmtId="0" fontId="60" fillId="10" borderId="16" xfId="0" applyFont="1" applyFill="1" applyBorder="1" applyAlignment="1" applyProtection="1">
      <alignment horizontal="center" vertical="center" wrapText="1" readingOrder="1"/>
      <protection hidden="1"/>
    </xf>
    <xf numFmtId="0" fontId="60" fillId="10" borderId="18" xfId="0" applyFont="1" applyFill="1" applyBorder="1" applyAlignment="1" applyProtection="1">
      <alignment horizontal="center" vertical="center" wrapText="1" readingOrder="1"/>
      <protection hidden="1"/>
    </xf>
    <xf numFmtId="0" fontId="60" fillId="10" borderId="17" xfId="0" applyFont="1" applyFill="1" applyBorder="1" applyAlignment="1" applyProtection="1">
      <alignment horizontal="center" vertical="center" wrapText="1" readingOrder="1"/>
      <protection hidden="1"/>
    </xf>
    <xf numFmtId="0" fontId="60" fillId="12" borderId="14" xfId="0" applyFont="1" applyFill="1" applyBorder="1" applyAlignment="1" applyProtection="1">
      <alignment horizontal="center" vertical="center" wrapText="1" readingOrder="1"/>
      <protection hidden="1"/>
    </xf>
    <xf numFmtId="0" fontId="60" fillId="11" borderId="12" xfId="0" applyFont="1" applyFill="1" applyBorder="1" applyAlignment="1" applyProtection="1">
      <alignment horizontal="center" vertical="center" wrapText="1" readingOrder="1"/>
      <protection hidden="1"/>
    </xf>
    <xf numFmtId="0" fontId="60" fillId="11" borderId="19" xfId="0" applyFont="1" applyFill="1" applyBorder="1" applyAlignment="1" applyProtection="1">
      <alignment horizontal="center" vertical="center" wrapText="1" readingOrder="1"/>
      <protection hidden="1"/>
    </xf>
    <xf numFmtId="0" fontId="60" fillId="11" borderId="13" xfId="0" applyFont="1" applyFill="1" applyBorder="1" applyAlignment="1" applyProtection="1">
      <alignment horizontal="center" vertical="center" wrapText="1" readingOrder="1"/>
      <protection hidden="1"/>
    </xf>
    <xf numFmtId="0" fontId="60" fillId="11" borderId="14" xfId="0" applyFont="1" applyFill="1" applyBorder="1" applyAlignment="1" applyProtection="1">
      <alignment horizontal="center" vertical="center" wrapText="1" readingOrder="1"/>
      <protection hidden="1"/>
    </xf>
    <xf numFmtId="0" fontId="60" fillId="11" borderId="0" xfId="0" applyFont="1" applyFill="1" applyBorder="1" applyAlignment="1" applyProtection="1">
      <alignment horizontal="center" vertical="center" wrapText="1" readingOrder="1"/>
      <protection hidden="1"/>
    </xf>
    <xf numFmtId="0" fontId="60" fillId="11" borderId="15" xfId="0" applyFont="1" applyFill="1" applyBorder="1" applyAlignment="1" applyProtection="1">
      <alignment horizontal="center" vertical="center" wrapText="1" readingOrder="1"/>
      <protection hidden="1"/>
    </xf>
    <xf numFmtId="0" fontId="60" fillId="11" borderId="16" xfId="0" applyFont="1" applyFill="1" applyBorder="1" applyAlignment="1" applyProtection="1">
      <alignment horizontal="center" vertical="center" wrapText="1" readingOrder="1"/>
      <protection hidden="1"/>
    </xf>
    <xf numFmtId="0" fontId="60" fillId="11" borderId="18" xfId="0" applyFont="1" applyFill="1" applyBorder="1" applyAlignment="1" applyProtection="1">
      <alignment horizontal="center" vertical="center" wrapText="1" readingOrder="1"/>
      <protection hidden="1"/>
    </xf>
    <xf numFmtId="0" fontId="60" fillId="11" borderId="17" xfId="0" applyFont="1" applyFill="1" applyBorder="1" applyAlignment="1" applyProtection="1">
      <alignment horizontal="center" vertical="center" wrapText="1" readingOrder="1"/>
      <protection hidden="1"/>
    </xf>
    <xf numFmtId="0" fontId="60" fillId="12" borderId="12" xfId="0" applyFont="1" applyFill="1" applyBorder="1" applyAlignment="1" applyProtection="1">
      <alignment horizontal="center" vertical="center" wrapText="1" readingOrder="1"/>
      <protection hidden="1"/>
    </xf>
    <xf numFmtId="0" fontId="60" fillId="12" borderId="19" xfId="0" applyFont="1" applyFill="1" applyBorder="1" applyAlignment="1" applyProtection="1">
      <alignment horizontal="center" vertical="center" wrapText="1" readingOrder="1"/>
      <protection hidden="1"/>
    </xf>
    <xf numFmtId="0" fontId="60" fillId="12" borderId="13" xfId="0" applyFont="1" applyFill="1" applyBorder="1" applyAlignment="1" applyProtection="1">
      <alignment horizontal="center" vertical="center" wrapText="1" readingOrder="1"/>
      <protection hidden="1"/>
    </xf>
    <xf numFmtId="0" fontId="60" fillId="12" borderId="0" xfId="0" applyFont="1" applyFill="1" applyBorder="1" applyAlignment="1" applyProtection="1">
      <alignment horizontal="center" vertical="center" wrapText="1" readingOrder="1"/>
      <protection hidden="1"/>
    </xf>
    <xf numFmtId="0" fontId="60" fillId="12" borderId="15" xfId="0" applyFont="1" applyFill="1" applyBorder="1" applyAlignment="1" applyProtection="1">
      <alignment horizontal="center" vertical="center" wrapText="1" readingOrder="1"/>
      <protection hidden="1"/>
    </xf>
    <xf numFmtId="0" fontId="60" fillId="12" borderId="16" xfId="0" applyFont="1" applyFill="1" applyBorder="1" applyAlignment="1" applyProtection="1">
      <alignment horizontal="center" vertical="center" wrapText="1" readingOrder="1"/>
      <protection hidden="1"/>
    </xf>
    <xf numFmtId="0" fontId="60" fillId="12" borderId="18" xfId="0" applyFont="1" applyFill="1" applyBorder="1" applyAlignment="1" applyProtection="1">
      <alignment horizontal="center" vertical="center" wrapText="1" readingOrder="1"/>
      <protection hidden="1"/>
    </xf>
    <xf numFmtId="0" fontId="60" fillId="12" borderId="17" xfId="0" applyFont="1" applyFill="1" applyBorder="1" applyAlignment="1" applyProtection="1">
      <alignment horizontal="center" vertical="center" wrapText="1" readingOrder="1"/>
      <protection hidden="1"/>
    </xf>
    <xf numFmtId="0" fontId="60" fillId="5" borderId="12" xfId="0" applyFont="1" applyFill="1" applyBorder="1" applyAlignment="1" applyProtection="1">
      <alignment horizontal="center" vertical="center" wrapText="1" readingOrder="1"/>
      <protection hidden="1"/>
    </xf>
    <xf numFmtId="0" fontId="60" fillId="5" borderId="19" xfId="0" applyFont="1" applyFill="1" applyBorder="1" applyAlignment="1" applyProtection="1">
      <alignment horizontal="center" vertical="center" wrapText="1" readingOrder="1"/>
      <protection hidden="1"/>
    </xf>
    <xf numFmtId="0" fontId="60" fillId="5" borderId="13" xfId="0" applyFont="1" applyFill="1" applyBorder="1" applyAlignment="1" applyProtection="1">
      <alignment horizontal="center" vertical="center" wrapText="1" readingOrder="1"/>
      <protection hidden="1"/>
    </xf>
    <xf numFmtId="0" fontId="60" fillId="5" borderId="14" xfId="0" applyFont="1" applyFill="1" applyBorder="1" applyAlignment="1" applyProtection="1">
      <alignment horizontal="center" vertical="center" wrapText="1" readingOrder="1"/>
      <protection hidden="1"/>
    </xf>
    <xf numFmtId="0" fontId="60" fillId="5" borderId="0" xfId="0" applyFont="1" applyFill="1" applyBorder="1" applyAlignment="1" applyProtection="1">
      <alignment horizontal="center" vertical="center" wrapText="1" readingOrder="1"/>
      <protection hidden="1"/>
    </xf>
    <xf numFmtId="0" fontId="60" fillId="5" borderId="15" xfId="0" applyFont="1" applyFill="1" applyBorder="1" applyAlignment="1" applyProtection="1">
      <alignment horizontal="center" vertical="center" wrapText="1" readingOrder="1"/>
      <protection hidden="1"/>
    </xf>
    <xf numFmtId="0" fontId="60" fillId="5" borderId="16" xfId="0" applyFont="1" applyFill="1" applyBorder="1" applyAlignment="1" applyProtection="1">
      <alignment horizontal="center" vertical="center" wrapText="1" readingOrder="1"/>
      <protection hidden="1"/>
    </xf>
    <xf numFmtId="0" fontId="60" fillId="5" borderId="18" xfId="0" applyFont="1" applyFill="1" applyBorder="1" applyAlignment="1" applyProtection="1">
      <alignment horizontal="center" vertical="center" wrapText="1" readingOrder="1"/>
      <protection hidden="1"/>
    </xf>
    <xf numFmtId="0" fontId="60" fillId="5" borderId="17" xfId="0" applyFont="1" applyFill="1" applyBorder="1" applyAlignment="1" applyProtection="1">
      <alignment horizontal="center" vertical="center" wrapText="1" readingOrder="1"/>
      <protection hidden="1"/>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left" vertical="center" wrapText="1"/>
      <protection locked="0"/>
    </xf>
    <xf numFmtId="0" fontId="1" fillId="0" borderId="2" xfId="0" applyNumberFormat="1" applyFont="1" applyBorder="1" applyAlignment="1" applyProtection="1">
      <alignment horizontal="center" vertical="center"/>
      <protection locked="0"/>
    </xf>
    <xf numFmtId="0" fontId="1" fillId="3" borderId="2" xfId="0" applyFont="1" applyFill="1" applyBorder="1" applyAlignment="1" applyProtection="1">
      <alignment horizontal="justify" vertical="center" wrapText="1"/>
      <protection locked="0"/>
    </xf>
    <xf numFmtId="0" fontId="1" fillId="3" borderId="2" xfId="0" applyFont="1" applyFill="1" applyBorder="1" applyAlignment="1" applyProtection="1">
      <alignment horizontal="justify" vertical="center"/>
      <protection locked="0"/>
    </xf>
    <xf numFmtId="17" fontId="1" fillId="0" borderId="2" xfId="0" applyNumberFormat="1" applyFont="1" applyBorder="1" applyAlignment="1" applyProtection="1">
      <alignment horizontal="center" vertical="center" wrapText="1"/>
      <protection locked="0"/>
    </xf>
    <xf numFmtId="0" fontId="43" fillId="3" borderId="14" xfId="1" applyFont="1" applyFill="1" applyBorder="1" applyAlignment="1" applyProtection="1">
      <alignment horizontal="left" vertical="top" wrapText="1"/>
    </xf>
    <xf numFmtId="0" fontId="43" fillId="3" borderId="0" xfId="1" applyFont="1" applyFill="1" applyBorder="1" applyAlignment="1" applyProtection="1">
      <alignment horizontal="left" vertical="top" wrapText="1"/>
    </xf>
    <xf numFmtId="0" fontId="43" fillId="3" borderId="15" xfId="1" applyFont="1" applyFill="1" applyBorder="1" applyAlignment="1" applyProtection="1">
      <alignment horizontal="left" vertical="top" wrapText="1"/>
    </xf>
    <xf numFmtId="0" fontId="49" fillId="3" borderId="59" xfId="1" applyFont="1" applyFill="1" applyBorder="1" applyAlignment="1" applyProtection="1">
      <alignment horizontal="justify" vertical="center" wrapText="1"/>
    </xf>
    <xf numFmtId="0" fontId="49" fillId="3" borderId="60" xfId="1" applyFont="1" applyFill="1" applyBorder="1" applyAlignment="1" applyProtection="1">
      <alignment horizontal="justify" vertical="center" wrapText="1"/>
    </xf>
    <xf numFmtId="0" fontId="48" fillId="3" borderId="66" xfId="0" applyFont="1" applyFill="1" applyBorder="1" applyAlignment="1" applyProtection="1">
      <alignment horizontal="left" vertical="center" wrapText="1"/>
    </xf>
    <xf numFmtId="0" fontId="48" fillId="3" borderId="67" xfId="0" applyFont="1" applyFill="1" applyBorder="1" applyAlignment="1" applyProtection="1">
      <alignment horizontal="left" vertical="center" wrapText="1"/>
    </xf>
    <xf numFmtId="0" fontId="48" fillId="3" borderId="53" xfId="2" applyFont="1" applyFill="1" applyBorder="1" applyAlignment="1" applyProtection="1">
      <alignment horizontal="left" vertical="top" wrapText="1" readingOrder="1"/>
    </xf>
    <xf numFmtId="0" fontId="48" fillId="3" borderId="54" xfId="2" applyFont="1" applyFill="1" applyBorder="1" applyAlignment="1" applyProtection="1">
      <alignment horizontal="left" vertical="top" wrapText="1" readingOrder="1"/>
    </xf>
    <xf numFmtId="0" fontId="49" fillId="3" borderId="55" xfId="1" applyFont="1" applyFill="1" applyBorder="1" applyAlignment="1" applyProtection="1">
      <alignment horizontal="justify" vertical="center" wrapText="1"/>
    </xf>
    <xf numFmtId="0" fontId="49" fillId="3" borderId="56" xfId="1" applyFont="1" applyFill="1" applyBorder="1" applyAlignment="1" applyProtection="1">
      <alignment horizontal="justify" vertical="center" wrapText="1"/>
    </xf>
    <xf numFmtId="0" fontId="48" fillId="3" borderId="68" xfId="0" applyFont="1" applyFill="1" applyBorder="1" applyAlignment="1" applyProtection="1">
      <alignment horizontal="left" vertical="center" wrapText="1"/>
    </xf>
    <xf numFmtId="0" fontId="48" fillId="3" borderId="69" xfId="0" applyFont="1" applyFill="1" applyBorder="1" applyAlignment="1" applyProtection="1">
      <alignment horizontal="left" vertical="center" wrapText="1"/>
    </xf>
    <xf numFmtId="0" fontId="49" fillId="3" borderId="61" xfId="0" applyFont="1" applyFill="1" applyBorder="1" applyAlignment="1" applyProtection="1">
      <alignment horizontal="justify" vertical="center" wrapText="1"/>
    </xf>
    <xf numFmtId="0" fontId="49" fillId="3" borderId="62" xfId="0" applyFont="1" applyFill="1" applyBorder="1" applyAlignment="1" applyProtection="1">
      <alignment horizontal="justify" vertical="center" wrapText="1"/>
    </xf>
    <xf numFmtId="0" fontId="48" fillId="3" borderId="57" xfId="0" applyFont="1" applyFill="1" applyBorder="1" applyAlignment="1" applyProtection="1">
      <alignment horizontal="left" vertical="center" wrapText="1"/>
    </xf>
    <xf numFmtId="0" fontId="48" fillId="3" borderId="58" xfId="0" applyFont="1" applyFill="1" applyBorder="1" applyAlignment="1" applyProtection="1">
      <alignment horizontal="left" vertical="center" wrapText="1"/>
    </xf>
    <xf numFmtId="0" fontId="44" fillId="13" borderId="43" xfId="1" applyFont="1" applyFill="1" applyBorder="1" applyAlignment="1" applyProtection="1">
      <alignment horizontal="center" vertical="center" wrapText="1"/>
    </xf>
    <xf numFmtId="0" fontId="44" fillId="13" borderId="44" xfId="1" applyFont="1" applyFill="1" applyBorder="1" applyAlignment="1" applyProtection="1">
      <alignment horizontal="center" vertical="center" wrapText="1"/>
    </xf>
    <xf numFmtId="0" fontId="44" fillId="13" borderId="45" xfId="1" applyFont="1" applyFill="1" applyBorder="1" applyAlignment="1" applyProtection="1">
      <alignment horizontal="center" vertical="center" wrapText="1"/>
    </xf>
    <xf numFmtId="0" fontId="43" fillId="0" borderId="14" xfId="1" quotePrefix="1" applyFont="1" applyBorder="1" applyAlignment="1" applyProtection="1">
      <alignment horizontal="left" vertical="center" wrapText="1"/>
    </xf>
    <xf numFmtId="0" fontId="43" fillId="0" borderId="0" xfId="1" quotePrefix="1" applyFont="1" applyBorder="1" applyAlignment="1" applyProtection="1">
      <alignment horizontal="left" vertical="center" wrapText="1"/>
    </xf>
    <xf numFmtId="0" fontId="43" fillId="0" borderId="15" xfId="1" quotePrefix="1" applyFont="1" applyBorder="1" applyAlignment="1" applyProtection="1">
      <alignment horizontal="left" vertical="center" wrapText="1"/>
    </xf>
    <xf numFmtId="0" fontId="43" fillId="0" borderId="63" xfId="1" quotePrefix="1" applyFont="1" applyBorder="1" applyAlignment="1" applyProtection="1">
      <alignment horizontal="left" vertical="center" wrapText="1"/>
    </xf>
    <xf numFmtId="0" fontId="43" fillId="0" borderId="64" xfId="1" quotePrefix="1" applyFont="1" applyBorder="1" applyAlignment="1" applyProtection="1">
      <alignment horizontal="left" vertical="center" wrapText="1"/>
    </xf>
    <xf numFmtId="0" fontId="43" fillId="0" borderId="65" xfId="1" quotePrefix="1" applyFont="1" applyBorder="1" applyAlignment="1" applyProtection="1">
      <alignment horizontal="left" vertical="center" wrapText="1"/>
    </xf>
    <xf numFmtId="0" fontId="45" fillId="3" borderId="46" xfId="1" quotePrefix="1" applyFont="1" applyFill="1" applyBorder="1" applyAlignment="1" applyProtection="1">
      <alignment horizontal="left" vertical="top" wrapText="1"/>
    </xf>
    <xf numFmtId="0" fontId="46" fillId="3" borderId="47" xfId="1" quotePrefix="1" applyFont="1" applyFill="1" applyBorder="1" applyAlignment="1" applyProtection="1">
      <alignment horizontal="left" vertical="top" wrapText="1"/>
    </xf>
    <xf numFmtId="0" fontId="46" fillId="3" borderId="48" xfId="1" quotePrefix="1" applyFont="1" applyFill="1" applyBorder="1" applyAlignment="1" applyProtection="1">
      <alignment horizontal="left" vertical="top" wrapText="1"/>
    </xf>
    <xf numFmtId="0" fontId="43" fillId="0" borderId="14" xfId="1" quotePrefix="1" applyFont="1" applyBorder="1" applyAlignment="1" applyProtection="1">
      <alignment horizontal="left" vertical="top" wrapText="1"/>
    </xf>
    <xf numFmtId="0" fontId="43" fillId="0" borderId="0" xfId="1" quotePrefix="1" applyFont="1" applyBorder="1" applyAlignment="1" applyProtection="1">
      <alignment horizontal="left" vertical="top" wrapText="1"/>
    </xf>
    <xf numFmtId="0" fontId="43" fillId="0" borderId="15" xfId="1" quotePrefix="1" applyFont="1" applyBorder="1" applyAlignment="1" applyProtection="1">
      <alignment horizontal="left" vertical="top" wrapText="1"/>
    </xf>
    <xf numFmtId="0" fontId="48" fillId="13" borderId="49" xfId="2" applyFont="1" applyFill="1" applyBorder="1" applyAlignment="1" applyProtection="1">
      <alignment horizontal="center" vertical="center" wrapText="1"/>
    </xf>
    <xf numFmtId="0" fontId="48" fillId="13" borderId="50" xfId="2" applyFont="1" applyFill="1" applyBorder="1" applyAlignment="1" applyProtection="1">
      <alignment horizontal="center" vertical="center" wrapText="1"/>
    </xf>
    <xf numFmtId="0" fontId="48" fillId="13" borderId="51" xfId="1" applyFont="1" applyFill="1" applyBorder="1" applyAlignment="1" applyProtection="1">
      <alignment horizontal="center" vertical="center"/>
    </xf>
    <xf numFmtId="0" fontId="48" fillId="13" borderId="52" xfId="1" applyFont="1" applyFill="1" applyBorder="1" applyAlignment="1" applyProtection="1">
      <alignment horizontal="center" vertical="center"/>
    </xf>
    <xf numFmtId="0" fontId="2" fillId="3" borderId="63" xfId="1" quotePrefix="1" applyFont="1" applyFill="1" applyBorder="1" applyAlignment="1" applyProtection="1">
      <alignment horizontal="justify" vertical="center" wrapText="1"/>
    </xf>
    <xf numFmtId="0" fontId="2" fillId="3" borderId="64" xfId="1" quotePrefix="1" applyFont="1" applyFill="1" applyBorder="1" applyAlignment="1" applyProtection="1">
      <alignment horizontal="justify" vertical="center" wrapText="1"/>
    </xf>
    <xf numFmtId="0" fontId="2" fillId="3" borderId="65" xfId="1" quotePrefix="1" applyFont="1" applyFill="1" applyBorder="1" applyAlignment="1" applyProtection="1">
      <alignment horizontal="justify"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15" borderId="4" xfId="0" applyNumberFormat="1" applyFont="1" applyFill="1" applyBorder="1" applyAlignment="1" applyProtection="1">
      <alignment horizontal="center" vertical="center" wrapText="1"/>
      <protection hidden="1"/>
    </xf>
    <xf numFmtId="9" fontId="1" fillId="15" borderId="8" xfId="0" applyNumberFormat="1" applyFont="1" applyFill="1" applyBorder="1" applyAlignment="1" applyProtection="1">
      <alignment horizontal="center" vertical="center" wrapText="1"/>
      <protection hidden="1"/>
    </xf>
    <xf numFmtId="9" fontId="1" fillId="15" borderId="5" xfId="0" applyNumberFormat="1" applyFont="1" applyFill="1" applyBorder="1" applyAlignment="1" applyProtection="1">
      <alignment horizontal="center" vertical="center" wrapText="1"/>
      <protection hidden="1"/>
    </xf>
    <xf numFmtId="0" fontId="4" fillId="15" borderId="4" xfId="0" applyFont="1" applyFill="1" applyBorder="1" applyAlignment="1" applyProtection="1">
      <alignment horizontal="center" vertical="center"/>
      <protection hidden="1"/>
    </xf>
    <xf numFmtId="0" fontId="4" fillId="15" borderId="8" xfId="0" applyFont="1" applyFill="1" applyBorder="1" applyAlignment="1" applyProtection="1">
      <alignment horizontal="center" vertical="center"/>
      <protection hidden="1"/>
    </xf>
    <xf numFmtId="0" fontId="4" fillId="15" borderId="5" xfId="0" applyFont="1" applyFill="1" applyBorder="1" applyAlignment="1" applyProtection="1">
      <alignment horizontal="center" vertical="center"/>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15" borderId="4" xfId="0" applyFont="1" applyFill="1" applyBorder="1" applyAlignment="1" applyProtection="1">
      <alignment horizontal="center" vertical="center" wrapText="1"/>
      <protection hidden="1"/>
    </xf>
    <xf numFmtId="0" fontId="4" fillId="15" borderId="8" xfId="0" applyFont="1" applyFill="1" applyBorder="1" applyAlignment="1" applyProtection="1">
      <alignment horizontal="center" vertical="center" wrapText="1"/>
      <protection hidden="1"/>
    </xf>
    <xf numFmtId="0" fontId="4" fillId="15"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4"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5"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4" xfId="0" applyFont="1" applyFill="1" applyBorder="1" applyAlignment="1">
      <alignment horizontal="center" vertical="center" textRotation="90" wrapText="1"/>
    </xf>
    <xf numFmtId="0" fontId="4" fillId="13" borderId="5" xfId="0" applyFont="1" applyFill="1" applyBorder="1" applyAlignment="1">
      <alignment horizontal="center" vertical="center" textRotation="90" wrapText="1"/>
    </xf>
    <xf numFmtId="0" fontId="4" fillId="13" borderId="6"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3" borderId="9" xfId="0" applyFont="1" applyFill="1" applyBorder="1" applyAlignment="1">
      <alignment horizontal="center" vertical="center"/>
    </xf>
    <xf numFmtId="0" fontId="4" fillId="13" borderId="3"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10" xfId="0" applyFont="1" applyFill="1" applyBorder="1" applyAlignment="1">
      <alignment horizontal="center" vertical="center"/>
    </xf>
    <xf numFmtId="0" fontId="4" fillId="13" borderId="7" xfId="0" applyFont="1" applyFill="1" applyBorder="1" applyAlignment="1">
      <alignment horizontal="center" vertical="center"/>
    </xf>
    <xf numFmtId="0" fontId="4" fillId="13" borderId="75" xfId="0" applyFont="1" applyFill="1" applyBorder="1" applyAlignment="1">
      <alignment horizontal="center" vertical="center" wrapText="1"/>
    </xf>
    <xf numFmtId="0" fontId="4" fillId="13" borderId="76"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77" xfId="0" applyFont="1" applyFill="1" applyBorder="1" applyAlignment="1">
      <alignment horizontal="center" vertical="center" wrapText="1"/>
    </xf>
    <xf numFmtId="0" fontId="53" fillId="0" borderId="28" xfId="3" applyFont="1" applyBorder="1" applyAlignment="1">
      <alignment horizontal="center" vertical="center" wrapText="1"/>
    </xf>
    <xf numFmtId="0" fontId="55" fillId="0" borderId="28" xfId="3" applyFont="1" applyBorder="1" applyAlignment="1">
      <alignment horizontal="center" vertical="center" wrapText="1"/>
    </xf>
    <xf numFmtId="0" fontId="57" fillId="0" borderId="28" xfId="3" applyFont="1" applyBorder="1" applyAlignment="1">
      <alignment horizontal="center" vertical="center" wrapText="1"/>
    </xf>
    <xf numFmtId="0" fontId="56" fillId="0" borderId="28" xfId="3" applyFont="1" applyBorder="1" applyAlignment="1">
      <alignment horizontal="center" vertical="center" wrapText="1"/>
    </xf>
    <xf numFmtId="0" fontId="54" fillId="0" borderId="70" xfId="3" applyFont="1" applyBorder="1" applyAlignment="1">
      <alignment horizontal="center" vertical="center" wrapText="1"/>
    </xf>
    <xf numFmtId="0" fontId="54" fillId="0" borderId="47" xfId="3" applyFont="1" applyBorder="1" applyAlignment="1">
      <alignment horizontal="center" vertical="center" wrapText="1"/>
    </xf>
    <xf numFmtId="0" fontId="54" fillId="0" borderId="71" xfId="3" applyFont="1" applyBorder="1" applyAlignment="1">
      <alignment horizontal="center" vertical="center" wrapText="1"/>
    </xf>
    <xf numFmtId="0" fontId="54" fillId="0" borderId="72" xfId="3" applyFont="1" applyBorder="1" applyAlignment="1">
      <alignment horizontal="center" vertical="center" wrapText="1"/>
    </xf>
    <xf numFmtId="0" fontId="54" fillId="0" borderId="64" xfId="3" applyFont="1" applyBorder="1" applyAlignment="1">
      <alignment horizontal="center" vertical="center" wrapText="1"/>
    </xf>
    <xf numFmtId="0" fontId="54" fillId="0" borderId="73" xfId="3" applyFont="1" applyBorder="1" applyAlignment="1">
      <alignment horizontal="center" vertical="center" wrapText="1"/>
    </xf>
    <xf numFmtId="0" fontId="7" fillId="3" borderId="6"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20" fillId="13" borderId="6" xfId="0" applyFont="1" applyFill="1" applyBorder="1" applyAlignment="1">
      <alignment horizontal="left" vertical="center"/>
    </xf>
    <xf numFmtId="0" fontId="20" fillId="13" borderId="7" xfId="0" applyFont="1" applyFill="1" applyBorder="1" applyAlignment="1">
      <alignment horizontal="left" vertical="center"/>
    </xf>
    <xf numFmtId="0" fontId="22" fillId="13" borderId="4" xfId="0" applyFont="1" applyFill="1" applyBorder="1" applyAlignment="1">
      <alignment horizontal="center" vertical="center" textRotation="90"/>
    </xf>
    <xf numFmtId="0" fontId="22" fillId="13" borderId="5" xfId="0" applyFont="1" applyFill="1" applyBorder="1" applyAlignment="1">
      <alignment horizontal="center" vertical="center" textRotation="90"/>
    </xf>
    <xf numFmtId="0" fontId="7" fillId="3" borderId="6"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4" fillId="13" borderId="9" xfId="0" applyFont="1" applyFill="1" applyBorder="1" applyAlignment="1">
      <alignment horizontal="center" vertical="center" wrapText="1"/>
    </xf>
    <xf numFmtId="0" fontId="17" fillId="9" borderId="0" xfId="0" applyFont="1" applyFill="1" applyAlignment="1">
      <alignment horizontal="center" vertical="center" textRotation="90" wrapText="1" readingOrder="1"/>
    </xf>
    <xf numFmtId="0" fontId="17" fillId="9" borderId="15" xfId="0" applyFont="1" applyFill="1" applyBorder="1" applyAlignment="1">
      <alignment horizontal="center" vertical="center" textRotation="90"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0" borderId="20" xfId="0" applyFont="1" applyFill="1" applyBorder="1" applyAlignment="1">
      <alignment horizontal="center" vertical="center" wrapText="1" readingOrder="1"/>
    </xf>
    <xf numFmtId="0" fontId="19" fillId="10" borderId="21" xfId="0" applyFont="1" applyFill="1" applyBorder="1" applyAlignment="1">
      <alignment horizontal="center" vertical="center" wrapText="1" readingOrder="1"/>
    </xf>
    <xf numFmtId="0" fontId="19" fillId="10" borderId="22" xfId="0" applyFont="1" applyFill="1" applyBorder="1" applyAlignment="1">
      <alignment horizontal="center" vertical="center" wrapText="1" readingOrder="1"/>
    </xf>
    <xf numFmtId="0" fontId="19" fillId="10" borderId="23" xfId="0" applyFont="1" applyFill="1" applyBorder="1" applyAlignment="1">
      <alignment horizontal="center" vertical="center" wrapText="1" readingOrder="1"/>
    </xf>
    <xf numFmtId="0" fontId="19" fillId="10" borderId="0" xfId="0" applyFont="1" applyFill="1" applyBorder="1" applyAlignment="1">
      <alignment horizontal="center" vertical="center" wrapText="1" readingOrder="1"/>
    </xf>
    <xf numFmtId="0" fontId="19" fillId="10" borderId="24" xfId="0" applyFont="1" applyFill="1" applyBorder="1" applyAlignment="1">
      <alignment horizontal="center" vertical="center" wrapText="1" readingOrder="1"/>
    </xf>
    <xf numFmtId="0" fontId="19" fillId="10" borderId="25" xfId="0" applyFont="1" applyFill="1" applyBorder="1" applyAlignment="1">
      <alignment horizontal="center" vertical="center" wrapText="1" readingOrder="1"/>
    </xf>
    <xf numFmtId="0" fontId="19" fillId="10" borderId="26" xfId="0" applyFont="1" applyFill="1" applyBorder="1" applyAlignment="1">
      <alignment horizontal="center" vertical="center" wrapText="1" readingOrder="1"/>
    </xf>
    <xf numFmtId="0" fontId="19" fillId="10" borderId="27"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8" fillId="10" borderId="0" xfId="0" applyFont="1" applyFill="1" applyAlignment="1" applyProtection="1">
      <alignment horizontal="center" vertical="center" wrapText="1" readingOrder="1"/>
      <protection hidden="1"/>
    </xf>
    <xf numFmtId="0" fontId="18" fillId="10" borderId="15" xfId="0" applyFont="1" applyFill="1" applyBorder="1" applyAlignment="1" applyProtection="1">
      <alignment horizontal="center" vertical="center" wrapText="1" readingOrder="1"/>
      <protection hidden="1"/>
    </xf>
    <xf numFmtId="0" fontId="18" fillId="10" borderId="0" xfId="0" applyFont="1" applyFill="1" applyBorder="1" applyAlignment="1" applyProtection="1">
      <alignment horizontal="center" vertical="center" wrapText="1" readingOrder="1"/>
      <protection hidden="1"/>
    </xf>
    <xf numFmtId="0" fontId="18" fillId="10" borderId="12" xfId="0" applyFont="1" applyFill="1" applyBorder="1" applyAlignment="1" applyProtection="1">
      <alignment horizontal="center" vertical="center" wrapText="1" readingOrder="1"/>
      <protection hidden="1"/>
    </xf>
    <xf numFmtId="0" fontId="18" fillId="10" borderId="19" xfId="0" applyFont="1" applyFill="1" applyBorder="1" applyAlignment="1" applyProtection="1">
      <alignment horizontal="center" vertical="center" wrapText="1" readingOrder="1"/>
      <protection hidden="1"/>
    </xf>
    <xf numFmtId="0" fontId="18" fillId="10" borderId="14" xfId="0" applyFont="1" applyFill="1" applyBorder="1" applyAlignment="1" applyProtection="1">
      <alignment horizontal="center" vertical="center" wrapText="1" readingOrder="1"/>
      <protection hidden="1"/>
    </xf>
    <xf numFmtId="0" fontId="18" fillId="10" borderId="13" xfId="0" applyFont="1" applyFill="1" applyBorder="1" applyAlignment="1" applyProtection="1">
      <alignment horizontal="center" vertical="center" wrapText="1" readingOrder="1"/>
      <protection hidden="1"/>
    </xf>
    <xf numFmtId="0" fontId="17" fillId="9"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8" fillId="10" borderId="16" xfId="0" applyFont="1" applyFill="1" applyBorder="1" applyAlignment="1" applyProtection="1">
      <alignment horizontal="center" vertical="center" wrapText="1" readingOrder="1"/>
      <protection hidden="1"/>
    </xf>
    <xf numFmtId="0" fontId="18" fillId="10" borderId="18" xfId="0" applyFont="1" applyFill="1" applyBorder="1" applyAlignment="1" applyProtection="1">
      <alignment horizontal="center" vertical="center" wrapText="1" readingOrder="1"/>
      <protection hidden="1"/>
    </xf>
    <xf numFmtId="0" fontId="18" fillId="10" borderId="1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wrapText="1" readingOrder="1"/>
      <protection hidden="1"/>
    </xf>
    <xf numFmtId="0" fontId="18" fillId="11" borderId="0"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wrapText="1" readingOrder="1"/>
      <protection hidden="1"/>
    </xf>
    <xf numFmtId="0" fontId="18" fillId="11" borderId="18" xfId="0" applyFont="1" applyFill="1" applyBorder="1" applyAlignment="1" applyProtection="1">
      <alignment horizontal="center" wrapText="1" readingOrder="1"/>
      <protection hidden="1"/>
    </xf>
    <xf numFmtId="0" fontId="18" fillId="11" borderId="17" xfId="0" applyFont="1" applyFill="1" applyBorder="1" applyAlignment="1" applyProtection="1">
      <alignment horizontal="center" wrapText="1" readingOrder="1"/>
      <protection hidden="1"/>
    </xf>
    <xf numFmtId="0" fontId="18" fillId="11" borderId="12" xfId="0" applyFont="1" applyFill="1" applyBorder="1" applyAlignment="1" applyProtection="1">
      <alignment horizontal="center" wrapText="1" readingOrder="1"/>
      <protection hidden="1"/>
    </xf>
    <xf numFmtId="0" fontId="18" fillId="11" borderId="19"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21" fillId="0" borderId="0" xfId="0" applyFont="1" applyAlignment="1">
      <alignment horizontal="center" vertical="center" wrapText="1"/>
    </xf>
    <xf numFmtId="0" fontId="37" fillId="10" borderId="20" xfId="0" applyFont="1" applyFill="1" applyBorder="1" applyAlignment="1">
      <alignment horizontal="center" vertical="center" wrapText="1" readingOrder="1"/>
    </xf>
    <xf numFmtId="0" fontId="37" fillId="10" borderId="21" xfId="0" applyFont="1" applyFill="1" applyBorder="1" applyAlignment="1">
      <alignment horizontal="center" vertical="center" wrapText="1" readingOrder="1"/>
    </xf>
    <xf numFmtId="0" fontId="37" fillId="10" borderId="22" xfId="0" applyFont="1" applyFill="1" applyBorder="1" applyAlignment="1">
      <alignment horizontal="center" vertical="center" wrapText="1" readingOrder="1"/>
    </xf>
    <xf numFmtId="0" fontId="37" fillId="10" borderId="23" xfId="0" applyFont="1" applyFill="1" applyBorder="1" applyAlignment="1">
      <alignment horizontal="center" vertical="center" wrapText="1" readingOrder="1"/>
    </xf>
    <xf numFmtId="0" fontId="37" fillId="10" borderId="0" xfId="0" applyFont="1" applyFill="1" applyBorder="1" applyAlignment="1">
      <alignment horizontal="center" vertical="center" wrapText="1" readingOrder="1"/>
    </xf>
    <xf numFmtId="0" fontId="37" fillId="10" borderId="24" xfId="0" applyFont="1" applyFill="1" applyBorder="1" applyAlignment="1">
      <alignment horizontal="center" vertical="center" wrapText="1" readingOrder="1"/>
    </xf>
    <xf numFmtId="0" fontId="37" fillId="10" borderId="25" xfId="0" applyFont="1" applyFill="1" applyBorder="1" applyAlignment="1">
      <alignment horizontal="center" vertical="center" wrapText="1" readingOrder="1"/>
    </xf>
    <xf numFmtId="0" fontId="37" fillId="10" borderId="26" xfId="0" applyFont="1" applyFill="1" applyBorder="1" applyAlignment="1">
      <alignment horizontal="center" vertical="center" wrapText="1" readingOrder="1"/>
    </xf>
    <xf numFmtId="0" fontId="37" fillId="10" borderId="27" xfId="0" applyFont="1" applyFill="1" applyBorder="1" applyAlignment="1">
      <alignment horizontal="center" vertical="center" wrapText="1" readingOrder="1"/>
    </xf>
    <xf numFmtId="0" fontId="59" fillId="0" borderId="12" xfId="0" applyFont="1" applyBorder="1" applyAlignment="1">
      <alignment horizontal="center" vertical="center" wrapText="1"/>
    </xf>
    <xf numFmtId="0" fontId="59" fillId="0" borderId="19" xfId="0" applyFont="1" applyBorder="1" applyAlignment="1">
      <alignment horizontal="center" vertical="center"/>
    </xf>
    <xf numFmtId="0" fontId="59" fillId="0" borderId="14" xfId="0" applyFont="1" applyBorder="1" applyAlignment="1">
      <alignment horizontal="center" vertical="center" wrapText="1"/>
    </xf>
    <xf numFmtId="0" fontId="59" fillId="0" borderId="0" xfId="0" applyFont="1" applyBorder="1" applyAlignment="1">
      <alignment horizontal="center" vertical="center"/>
    </xf>
    <xf numFmtId="0" fontId="59" fillId="0" borderId="14" xfId="0" applyFont="1" applyBorder="1" applyAlignment="1">
      <alignment horizontal="center" vertical="center"/>
    </xf>
    <xf numFmtId="0" fontId="59" fillId="0" borderId="0" xfId="0" applyFont="1" applyAlignment="1">
      <alignment horizontal="center" vertical="center"/>
    </xf>
    <xf numFmtId="0" fontId="59" fillId="0" borderId="16" xfId="0" applyFont="1" applyBorder="1" applyAlignment="1">
      <alignment horizontal="center" vertical="center"/>
    </xf>
    <xf numFmtId="0" fontId="59" fillId="0" borderId="18" xfId="0" applyFont="1" applyBorder="1" applyAlignment="1">
      <alignment horizontal="center" vertical="center"/>
    </xf>
    <xf numFmtId="0" fontId="37" fillId="11" borderId="20" xfId="0" applyFont="1" applyFill="1" applyBorder="1" applyAlignment="1">
      <alignment horizontal="center" vertical="center" wrapText="1" readingOrder="1"/>
    </xf>
    <xf numFmtId="0" fontId="37" fillId="11" borderId="21" xfId="0" applyFont="1" applyFill="1" applyBorder="1" applyAlignment="1">
      <alignment horizontal="center" vertical="center" wrapText="1" readingOrder="1"/>
    </xf>
    <xf numFmtId="0" fontId="37" fillId="11" borderId="22" xfId="0" applyFont="1" applyFill="1" applyBorder="1" applyAlignment="1">
      <alignment horizontal="center" vertical="center" wrapText="1" readingOrder="1"/>
    </xf>
    <xf numFmtId="0" fontId="37" fillId="11" borderId="23" xfId="0" applyFont="1" applyFill="1" applyBorder="1" applyAlignment="1">
      <alignment horizontal="center" vertical="center" wrapText="1" readingOrder="1"/>
    </xf>
    <xf numFmtId="0" fontId="37" fillId="11" borderId="0" xfId="0" applyFont="1" applyFill="1" applyBorder="1" applyAlignment="1">
      <alignment horizontal="center" vertical="center" wrapText="1" readingOrder="1"/>
    </xf>
    <xf numFmtId="0" fontId="37" fillId="11" borderId="24" xfId="0" applyFont="1" applyFill="1" applyBorder="1" applyAlignment="1">
      <alignment horizontal="center" vertical="center" wrapText="1" readingOrder="1"/>
    </xf>
    <xf numFmtId="0" fontId="37" fillId="11" borderId="25" xfId="0" applyFont="1" applyFill="1" applyBorder="1" applyAlignment="1">
      <alignment horizontal="center" vertical="center" wrapText="1" readingOrder="1"/>
    </xf>
    <xf numFmtId="0" fontId="37" fillId="11" borderId="26" xfId="0" applyFont="1" applyFill="1" applyBorder="1" applyAlignment="1">
      <alignment horizontal="center" vertical="center" wrapText="1" readingOrder="1"/>
    </xf>
    <xf numFmtId="0" fontId="37" fillId="11" borderId="27" xfId="0" applyFont="1" applyFill="1" applyBorder="1" applyAlignment="1">
      <alignment horizontal="center" vertical="center" wrapText="1" readingOrder="1"/>
    </xf>
    <xf numFmtId="0" fontId="58" fillId="0" borderId="0" xfId="0" applyFont="1" applyAlignment="1">
      <alignment horizontal="center" vertical="center" wrapText="1"/>
    </xf>
    <xf numFmtId="0" fontId="59" fillId="0" borderId="13" xfId="0" applyFont="1" applyBorder="1" applyAlignment="1">
      <alignment horizontal="center" vertical="center"/>
    </xf>
    <xf numFmtId="0" fontId="59" fillId="0" borderId="15" xfId="0" applyFont="1" applyBorder="1" applyAlignment="1">
      <alignment horizontal="center" vertical="center"/>
    </xf>
    <xf numFmtId="0" fontId="59" fillId="0" borderId="17" xfId="0" applyFont="1" applyBorder="1" applyAlignment="1">
      <alignment horizontal="center" vertical="center"/>
    </xf>
    <xf numFmtId="0" fontId="37" fillId="5" borderId="20" xfId="0" applyFont="1" applyFill="1" applyBorder="1" applyAlignment="1">
      <alignment horizontal="center" vertical="center" wrapText="1" readingOrder="1"/>
    </xf>
    <xf numFmtId="0" fontId="37" fillId="5" borderId="21" xfId="0" applyFont="1" applyFill="1" applyBorder="1" applyAlignment="1">
      <alignment horizontal="center" vertical="center" wrapText="1" readingOrder="1"/>
    </xf>
    <xf numFmtId="0" fontId="37" fillId="5" borderId="22" xfId="0" applyFont="1" applyFill="1" applyBorder="1" applyAlignment="1">
      <alignment horizontal="center" vertical="center" wrapText="1" readingOrder="1"/>
    </xf>
    <xf numFmtId="0" fontId="37" fillId="5" borderId="23" xfId="0" applyFont="1" applyFill="1" applyBorder="1" applyAlignment="1">
      <alignment horizontal="center" vertical="center" wrapText="1" readingOrder="1"/>
    </xf>
    <xf numFmtId="0" fontId="37" fillId="5" borderId="0" xfId="0" applyFont="1" applyFill="1" applyBorder="1" applyAlignment="1">
      <alignment horizontal="center" vertical="center" wrapText="1" readingOrder="1"/>
    </xf>
    <xf numFmtId="0" fontId="37" fillId="5" borderId="24" xfId="0" applyFont="1" applyFill="1" applyBorder="1" applyAlignment="1">
      <alignment horizontal="center" vertical="center" wrapText="1" readingOrder="1"/>
    </xf>
    <xf numFmtId="0" fontId="37" fillId="5" borderId="25" xfId="0" applyFont="1" applyFill="1" applyBorder="1" applyAlignment="1">
      <alignment horizontal="center" vertical="center" wrapText="1" readingOrder="1"/>
    </xf>
    <xf numFmtId="0" fontId="37" fillId="5" borderId="26" xfId="0" applyFont="1" applyFill="1" applyBorder="1" applyAlignment="1">
      <alignment horizontal="center" vertical="center" wrapText="1" readingOrder="1"/>
    </xf>
    <xf numFmtId="0" fontId="37" fillId="5" borderId="27" xfId="0" applyFont="1" applyFill="1" applyBorder="1" applyAlignment="1">
      <alignment horizontal="center" vertical="center" wrapText="1" readingOrder="1"/>
    </xf>
    <xf numFmtId="0" fontId="37" fillId="12" borderId="20" xfId="0" applyFont="1" applyFill="1" applyBorder="1" applyAlignment="1">
      <alignment horizontal="center" vertical="center" wrapText="1" readingOrder="1"/>
    </xf>
    <xf numFmtId="0" fontId="37" fillId="12" borderId="21" xfId="0" applyFont="1" applyFill="1" applyBorder="1" applyAlignment="1">
      <alignment horizontal="center" vertical="center" wrapText="1" readingOrder="1"/>
    </xf>
    <xf numFmtId="0" fontId="37" fillId="12" borderId="22" xfId="0" applyFont="1" applyFill="1" applyBorder="1" applyAlignment="1">
      <alignment horizontal="center" vertical="center" wrapText="1" readingOrder="1"/>
    </xf>
    <xf numFmtId="0" fontId="37" fillId="12" borderId="23" xfId="0" applyFont="1" applyFill="1" applyBorder="1" applyAlignment="1">
      <alignment horizontal="center" vertical="center" wrapText="1" readingOrder="1"/>
    </xf>
    <xf numFmtId="0" fontId="37" fillId="12" borderId="0" xfId="0" applyFont="1" applyFill="1" applyBorder="1" applyAlignment="1">
      <alignment horizontal="center" vertical="center" wrapText="1" readingOrder="1"/>
    </xf>
    <xf numFmtId="0" fontId="37" fillId="12" borderId="24" xfId="0" applyFont="1" applyFill="1" applyBorder="1" applyAlignment="1">
      <alignment horizontal="center" vertical="center" wrapText="1" readingOrder="1"/>
    </xf>
    <xf numFmtId="0" fontId="37" fillId="12" borderId="25" xfId="0" applyFont="1" applyFill="1" applyBorder="1" applyAlignment="1">
      <alignment horizontal="center" vertical="center" wrapText="1" readingOrder="1"/>
    </xf>
    <xf numFmtId="0" fontId="37" fillId="12" borderId="26" xfId="0" applyFont="1" applyFill="1" applyBorder="1" applyAlignment="1">
      <alignment horizontal="center" vertical="center" wrapText="1" readingOrder="1"/>
    </xf>
    <xf numFmtId="0" fontId="37" fillId="12" borderId="27" xfId="0" applyFont="1" applyFill="1" applyBorder="1" applyAlignment="1">
      <alignment horizontal="center" vertical="center" wrapText="1" readingOrder="1"/>
    </xf>
    <xf numFmtId="0" fontId="59" fillId="0" borderId="19" xfId="0" applyFont="1" applyBorder="1" applyAlignment="1">
      <alignment horizontal="center" vertical="center" wrapText="1"/>
    </xf>
    <xf numFmtId="0" fontId="20" fillId="0" borderId="0" xfId="0" applyFont="1" applyAlignment="1">
      <alignment horizontal="center" vertical="center"/>
    </xf>
    <xf numFmtId="0" fontId="39" fillId="0" borderId="0" xfId="0" applyFont="1" applyAlignment="1">
      <alignment horizontal="center" vertical="center"/>
    </xf>
    <xf numFmtId="0" fontId="36" fillId="14" borderId="30" xfId="0" applyFont="1" applyFill="1" applyBorder="1" applyAlignment="1">
      <alignment horizontal="center" vertical="center" wrapText="1" readingOrder="1"/>
    </xf>
    <xf numFmtId="0" fontId="36" fillId="14" borderId="31" xfId="0" applyFont="1" applyFill="1" applyBorder="1" applyAlignment="1">
      <alignment horizontal="center" vertical="center" wrapText="1" readingOrder="1"/>
    </xf>
    <xf numFmtId="0" fontId="36" fillId="14" borderId="42" xfId="0" applyFont="1" applyFill="1" applyBorder="1" applyAlignment="1">
      <alignment horizontal="center" vertical="center" wrapText="1" readingOrder="1"/>
    </xf>
    <xf numFmtId="0" fontId="31" fillId="3" borderId="0" xfId="0" applyFont="1" applyFill="1" applyBorder="1" applyAlignment="1">
      <alignment horizontal="justify" vertical="center" wrapText="1"/>
    </xf>
    <xf numFmtId="0" fontId="33" fillId="13" borderId="39" xfId="0" applyFont="1" applyFill="1" applyBorder="1" applyAlignment="1">
      <alignment horizontal="center" vertical="center" wrapText="1" readingOrder="1"/>
    </xf>
    <xf numFmtId="0" fontId="33" fillId="13" borderId="40" xfId="0" applyFont="1" applyFill="1" applyBorder="1" applyAlignment="1">
      <alignment horizontal="center" vertical="center" wrapText="1" readingOrder="1"/>
    </xf>
    <xf numFmtId="0" fontId="33" fillId="3" borderId="37" xfId="0" applyFont="1" applyFill="1" applyBorder="1" applyAlignment="1">
      <alignment horizontal="center" vertical="center" wrapText="1" readingOrder="1"/>
    </xf>
    <xf numFmtId="0" fontId="33" fillId="3" borderId="32" xfId="0" applyFont="1" applyFill="1" applyBorder="1" applyAlignment="1">
      <alignment horizontal="center" vertical="center" wrapText="1" readingOrder="1"/>
    </xf>
    <xf numFmtId="0" fontId="33" fillId="3" borderId="29"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xf numFmtId="0" fontId="33" fillId="3" borderId="34" xfId="0" applyFont="1" applyFill="1" applyBorder="1" applyAlignment="1">
      <alignment horizontal="center" vertical="center" wrapText="1" readingOrder="1"/>
    </xf>
    <xf numFmtId="0" fontId="33" fillId="3" borderId="35" xfId="0" applyFont="1" applyFill="1" applyBorder="1" applyAlignment="1">
      <alignment horizontal="center" vertical="center" wrapText="1" readingOrder="1"/>
    </xf>
  </cellXfs>
  <cellStyles count="4">
    <cellStyle name="Normal" xfId="0" builtinId="0"/>
    <cellStyle name="Normal - Style1 2" xfId="1"/>
    <cellStyle name="Normal 2" xfId="3"/>
    <cellStyle name="Normal 2 2" xfId="2"/>
  </cellStyles>
  <dxfs count="1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CCCCFF"/>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933904</xdr:colOff>
      <xdr:row>0</xdr:row>
      <xdr:rowOff>65769</xdr:rowOff>
    </xdr:from>
    <xdr:to>
      <xdr:col>3</xdr:col>
      <xdr:colOff>95250</xdr:colOff>
      <xdr:row>2</xdr:row>
      <xdr:rowOff>321159</xdr:rowOff>
    </xdr:to>
    <xdr:pic>
      <xdr:nvPicPr>
        <xdr:cNvPr id="3" name="1 Imagen" descr="Logo Serviciudad Pequeñ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047" y="65769"/>
          <a:ext cx="1324882" cy="1017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sung/Documents/Serviciudad/Laboral%202/Matrices/Matriz_mapa_riesgos%20Acueducto%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opLeftCell="A20" zoomScale="110" zoomScaleNormal="110" workbookViewId="0">
      <selection activeCell="E28" sqref="E28:F28"/>
    </sheetView>
  </sheetViews>
  <sheetFormatPr baseColWidth="10" defaultColWidth="11.44140625" defaultRowHeight="14.4" x14ac:dyDescent="0.3"/>
  <cols>
    <col min="1" max="1" width="2.88671875" style="50" customWidth="1"/>
    <col min="2" max="3" width="24.6640625" style="50" customWidth="1"/>
    <col min="4" max="4" width="16" style="50" customWidth="1"/>
    <col min="5" max="5" width="24.6640625" style="50" customWidth="1"/>
    <col min="6" max="6" width="27.6640625" style="50" customWidth="1"/>
    <col min="7" max="8" width="24.6640625" style="50" customWidth="1"/>
    <col min="9" max="16384" width="11.44140625" style="50"/>
  </cols>
  <sheetData>
    <row r="1" spans="2:8" ht="15" thickBot="1" x14ac:dyDescent="0.35"/>
    <row r="2" spans="2:8" ht="18" x14ac:dyDescent="0.3">
      <c r="B2" s="164" t="s">
        <v>162</v>
      </c>
      <c r="C2" s="165"/>
      <c r="D2" s="165"/>
      <c r="E2" s="165"/>
      <c r="F2" s="165"/>
      <c r="G2" s="165"/>
      <c r="H2" s="166"/>
    </row>
    <row r="3" spans="2:8" x14ac:dyDescent="0.3">
      <c r="B3" s="51"/>
      <c r="C3" s="52"/>
      <c r="D3" s="52"/>
      <c r="E3" s="52"/>
      <c r="F3" s="52"/>
      <c r="G3" s="52"/>
      <c r="H3" s="53"/>
    </row>
    <row r="4" spans="2:8" ht="63" customHeight="1" x14ac:dyDescent="0.3">
      <c r="B4" s="167" t="s">
        <v>202</v>
      </c>
      <c r="C4" s="168"/>
      <c r="D4" s="168"/>
      <c r="E4" s="168"/>
      <c r="F4" s="168"/>
      <c r="G4" s="168"/>
      <c r="H4" s="169"/>
    </row>
    <row r="5" spans="2:8" ht="63" customHeight="1" x14ac:dyDescent="0.3">
      <c r="B5" s="170"/>
      <c r="C5" s="171"/>
      <c r="D5" s="171"/>
      <c r="E5" s="171"/>
      <c r="F5" s="171"/>
      <c r="G5" s="171"/>
      <c r="H5" s="172"/>
    </row>
    <row r="6" spans="2:8" x14ac:dyDescent="0.3">
      <c r="B6" s="173" t="s">
        <v>160</v>
      </c>
      <c r="C6" s="174"/>
      <c r="D6" s="174"/>
      <c r="E6" s="174"/>
      <c r="F6" s="174"/>
      <c r="G6" s="174"/>
      <c r="H6" s="175"/>
    </row>
    <row r="7" spans="2:8" ht="95.25" customHeight="1" x14ac:dyDescent="0.3">
      <c r="B7" s="183" t="s">
        <v>165</v>
      </c>
      <c r="C7" s="184"/>
      <c r="D7" s="184"/>
      <c r="E7" s="184"/>
      <c r="F7" s="184"/>
      <c r="G7" s="184"/>
      <c r="H7" s="185"/>
    </row>
    <row r="8" spans="2:8" x14ac:dyDescent="0.3">
      <c r="B8" s="86"/>
      <c r="C8" s="87"/>
      <c r="D8" s="87"/>
      <c r="E8" s="87"/>
      <c r="F8" s="87"/>
      <c r="G8" s="87"/>
      <c r="H8" s="88"/>
    </row>
    <row r="9" spans="2:8" ht="16.5" customHeight="1" x14ac:dyDescent="0.3">
      <c r="B9" s="176" t="s">
        <v>197</v>
      </c>
      <c r="C9" s="177"/>
      <c r="D9" s="177"/>
      <c r="E9" s="177"/>
      <c r="F9" s="177"/>
      <c r="G9" s="177"/>
      <c r="H9" s="178"/>
    </row>
    <row r="10" spans="2:8" ht="44.25" customHeight="1" x14ac:dyDescent="0.3">
      <c r="B10" s="176"/>
      <c r="C10" s="177"/>
      <c r="D10" s="177"/>
      <c r="E10" s="177"/>
      <c r="F10" s="177"/>
      <c r="G10" s="177"/>
      <c r="H10" s="178"/>
    </row>
    <row r="11" spans="2:8" ht="15" thickBot="1" x14ac:dyDescent="0.35">
      <c r="B11" s="74"/>
      <c r="C11" s="77"/>
      <c r="D11" s="82"/>
      <c r="E11" s="83"/>
      <c r="F11" s="83"/>
      <c r="G11" s="84"/>
      <c r="H11" s="85"/>
    </row>
    <row r="12" spans="2:8" ht="15" thickTop="1" x14ac:dyDescent="0.3">
      <c r="B12" s="74"/>
      <c r="C12" s="179" t="s">
        <v>161</v>
      </c>
      <c r="D12" s="180"/>
      <c r="E12" s="181" t="s">
        <v>198</v>
      </c>
      <c r="F12" s="182"/>
      <c r="G12" s="77"/>
      <c r="H12" s="78"/>
    </row>
    <row r="13" spans="2:8" ht="35.25" customHeight="1" x14ac:dyDescent="0.3">
      <c r="B13" s="74"/>
      <c r="C13" s="154" t="s">
        <v>191</v>
      </c>
      <c r="D13" s="155"/>
      <c r="E13" s="156" t="s">
        <v>196</v>
      </c>
      <c r="F13" s="157"/>
      <c r="G13" s="77"/>
      <c r="H13" s="78"/>
    </row>
    <row r="14" spans="2:8" ht="17.25" customHeight="1" x14ac:dyDescent="0.3">
      <c r="B14" s="74"/>
      <c r="C14" s="154" t="s">
        <v>192</v>
      </c>
      <c r="D14" s="155"/>
      <c r="E14" s="156" t="s">
        <v>194</v>
      </c>
      <c r="F14" s="157"/>
      <c r="G14" s="77"/>
      <c r="H14" s="78"/>
    </row>
    <row r="15" spans="2:8" ht="19.5" customHeight="1" x14ac:dyDescent="0.3">
      <c r="B15" s="74"/>
      <c r="C15" s="154" t="s">
        <v>193</v>
      </c>
      <c r="D15" s="155"/>
      <c r="E15" s="156" t="s">
        <v>195</v>
      </c>
      <c r="F15" s="157"/>
      <c r="G15" s="77"/>
      <c r="H15" s="78"/>
    </row>
    <row r="16" spans="2:8" ht="69.75" customHeight="1" x14ac:dyDescent="0.3">
      <c r="B16" s="74"/>
      <c r="C16" s="154" t="s">
        <v>163</v>
      </c>
      <c r="D16" s="155"/>
      <c r="E16" s="156" t="s">
        <v>164</v>
      </c>
      <c r="F16" s="157"/>
      <c r="G16" s="77"/>
      <c r="H16" s="78"/>
    </row>
    <row r="17" spans="2:8" ht="34.5" customHeight="1" x14ac:dyDescent="0.3">
      <c r="B17" s="74"/>
      <c r="C17" s="162" t="s">
        <v>2</v>
      </c>
      <c r="D17" s="163"/>
      <c r="E17" s="150" t="s">
        <v>208</v>
      </c>
      <c r="F17" s="151"/>
      <c r="G17" s="77"/>
      <c r="H17" s="78"/>
    </row>
    <row r="18" spans="2:8" ht="41.25" customHeight="1" x14ac:dyDescent="0.3">
      <c r="B18" s="74"/>
      <c r="C18" s="162" t="s">
        <v>3</v>
      </c>
      <c r="D18" s="163"/>
      <c r="E18" s="150" t="s">
        <v>210</v>
      </c>
      <c r="F18" s="151"/>
      <c r="G18" s="77"/>
      <c r="H18" s="78"/>
    </row>
    <row r="19" spans="2:8" ht="39" customHeight="1" x14ac:dyDescent="0.3">
      <c r="B19" s="74"/>
      <c r="C19" s="162" t="s">
        <v>42</v>
      </c>
      <c r="D19" s="163"/>
      <c r="E19" s="150" t="s">
        <v>209</v>
      </c>
      <c r="F19" s="151"/>
      <c r="G19" s="77"/>
      <c r="H19" s="78"/>
    </row>
    <row r="20" spans="2:8" ht="72.75" customHeight="1" x14ac:dyDescent="0.3">
      <c r="B20" s="74"/>
      <c r="C20" s="162" t="s">
        <v>1</v>
      </c>
      <c r="D20" s="163"/>
      <c r="E20" s="150" t="s">
        <v>203</v>
      </c>
      <c r="F20" s="151"/>
      <c r="G20" s="77"/>
      <c r="H20" s="78"/>
    </row>
    <row r="21" spans="2:8" ht="64.5" customHeight="1" x14ac:dyDescent="0.3">
      <c r="B21" s="74"/>
      <c r="C21" s="162" t="s">
        <v>50</v>
      </c>
      <c r="D21" s="163"/>
      <c r="E21" s="150" t="s">
        <v>167</v>
      </c>
      <c r="F21" s="151"/>
      <c r="G21" s="77"/>
      <c r="H21" s="78"/>
    </row>
    <row r="22" spans="2:8" ht="39.6" x14ac:dyDescent="0.3">
      <c r="B22" s="74"/>
      <c r="C22" s="102"/>
      <c r="D22" s="75" t="s">
        <v>217</v>
      </c>
      <c r="E22" s="150" t="s">
        <v>224</v>
      </c>
      <c r="F22" s="151"/>
      <c r="G22" s="77"/>
      <c r="H22" s="78"/>
    </row>
    <row r="23" spans="2:8" ht="27.75" customHeight="1" x14ac:dyDescent="0.3">
      <c r="B23" s="74"/>
      <c r="C23" s="102"/>
      <c r="D23" s="75" t="s">
        <v>218</v>
      </c>
      <c r="E23" s="150" t="s">
        <v>225</v>
      </c>
      <c r="F23" s="151"/>
      <c r="G23" s="77"/>
      <c r="H23" s="78"/>
    </row>
    <row r="24" spans="2:8" ht="64.5" customHeight="1" x14ac:dyDescent="0.3">
      <c r="B24" s="74"/>
      <c r="C24" s="102"/>
      <c r="D24" s="75" t="s">
        <v>219</v>
      </c>
      <c r="E24" s="150" t="s">
        <v>226</v>
      </c>
      <c r="F24" s="151"/>
      <c r="G24" s="77"/>
      <c r="H24" s="78"/>
    </row>
    <row r="25" spans="2:8" ht="26.25" customHeight="1" x14ac:dyDescent="0.3">
      <c r="B25" s="74"/>
      <c r="C25" s="102"/>
      <c r="D25" s="75" t="s">
        <v>220</v>
      </c>
      <c r="E25" s="150" t="s">
        <v>227</v>
      </c>
      <c r="F25" s="151"/>
      <c r="G25" s="77"/>
      <c r="H25" s="78"/>
    </row>
    <row r="26" spans="2:8" ht="41.25" customHeight="1" x14ac:dyDescent="0.3">
      <c r="B26" s="74"/>
      <c r="C26" s="102"/>
      <c r="D26" s="75" t="s">
        <v>221</v>
      </c>
      <c r="E26" s="150" t="s">
        <v>228</v>
      </c>
      <c r="F26" s="151"/>
      <c r="G26" s="77"/>
      <c r="H26" s="78"/>
    </row>
    <row r="27" spans="2:8" ht="33.75" customHeight="1" x14ac:dyDescent="0.3">
      <c r="B27" s="74"/>
      <c r="C27" s="102"/>
      <c r="D27" s="75" t="s">
        <v>222</v>
      </c>
      <c r="E27" s="150" t="s">
        <v>229</v>
      </c>
      <c r="F27" s="151"/>
      <c r="G27" s="77"/>
      <c r="H27" s="78"/>
    </row>
    <row r="28" spans="2:8" ht="30" customHeight="1" x14ac:dyDescent="0.3">
      <c r="B28" s="74"/>
      <c r="C28" s="102"/>
      <c r="D28" s="75" t="s">
        <v>223</v>
      </c>
      <c r="E28" s="150" t="s">
        <v>230</v>
      </c>
      <c r="F28" s="151"/>
      <c r="G28" s="77"/>
      <c r="H28" s="78"/>
    </row>
    <row r="29" spans="2:8" ht="71.25" customHeight="1" x14ac:dyDescent="0.3">
      <c r="B29" s="74"/>
      <c r="C29" s="152" t="s">
        <v>166</v>
      </c>
      <c r="D29" s="153"/>
      <c r="E29" s="150" t="s">
        <v>168</v>
      </c>
      <c r="F29" s="151"/>
      <c r="G29" s="77"/>
      <c r="H29" s="78"/>
    </row>
    <row r="30" spans="2:8" ht="55.5" customHeight="1" x14ac:dyDescent="0.3">
      <c r="B30" s="74"/>
      <c r="C30" s="152" t="s">
        <v>169</v>
      </c>
      <c r="D30" s="153"/>
      <c r="E30" s="150" t="s">
        <v>170</v>
      </c>
      <c r="F30" s="151"/>
      <c r="G30" s="77"/>
      <c r="H30" s="78"/>
    </row>
    <row r="31" spans="2:8" ht="42" customHeight="1" x14ac:dyDescent="0.3">
      <c r="B31" s="74"/>
      <c r="C31" s="152" t="s">
        <v>48</v>
      </c>
      <c r="D31" s="153"/>
      <c r="E31" s="150" t="s">
        <v>171</v>
      </c>
      <c r="F31" s="151"/>
      <c r="G31" s="77"/>
      <c r="H31" s="78"/>
    </row>
    <row r="32" spans="2:8" ht="59.25" customHeight="1" x14ac:dyDescent="0.3">
      <c r="B32" s="74"/>
      <c r="C32" s="152" t="s">
        <v>159</v>
      </c>
      <c r="D32" s="153"/>
      <c r="E32" s="150" t="s">
        <v>172</v>
      </c>
      <c r="F32" s="151"/>
      <c r="G32" s="77"/>
      <c r="H32" s="78"/>
    </row>
    <row r="33" spans="2:8" ht="23.25" customHeight="1" x14ac:dyDescent="0.3">
      <c r="B33" s="74"/>
      <c r="C33" s="152" t="s">
        <v>12</v>
      </c>
      <c r="D33" s="153"/>
      <c r="E33" s="150" t="s">
        <v>173</v>
      </c>
      <c r="F33" s="151"/>
      <c r="G33" s="77"/>
      <c r="H33" s="78"/>
    </row>
    <row r="34" spans="2:8" ht="30.75" customHeight="1" x14ac:dyDescent="0.3">
      <c r="B34" s="74"/>
      <c r="C34" s="152" t="s">
        <v>177</v>
      </c>
      <c r="D34" s="153"/>
      <c r="E34" s="150" t="s">
        <v>174</v>
      </c>
      <c r="F34" s="151"/>
      <c r="G34" s="77"/>
      <c r="H34" s="78"/>
    </row>
    <row r="35" spans="2:8" ht="35.25" customHeight="1" x14ac:dyDescent="0.3">
      <c r="B35" s="74"/>
      <c r="C35" s="152" t="s">
        <v>178</v>
      </c>
      <c r="D35" s="153"/>
      <c r="E35" s="150" t="s">
        <v>175</v>
      </c>
      <c r="F35" s="151"/>
      <c r="G35" s="77"/>
      <c r="H35" s="78"/>
    </row>
    <row r="36" spans="2:8" ht="30" customHeight="1" x14ac:dyDescent="0.3">
      <c r="B36" s="74"/>
      <c r="C36" s="152" t="s">
        <v>179</v>
      </c>
      <c r="D36" s="153"/>
      <c r="E36" s="150" t="s">
        <v>176</v>
      </c>
      <c r="F36" s="151"/>
      <c r="G36" s="77"/>
      <c r="H36" s="78"/>
    </row>
    <row r="37" spans="2:8" ht="35.25" customHeight="1" x14ac:dyDescent="0.3">
      <c r="B37" s="74"/>
      <c r="C37" s="152" t="s">
        <v>180</v>
      </c>
      <c r="D37" s="153"/>
      <c r="E37" s="150" t="s">
        <v>181</v>
      </c>
      <c r="F37" s="151"/>
      <c r="G37" s="77"/>
      <c r="H37" s="78"/>
    </row>
    <row r="38" spans="2:8" ht="31.5" customHeight="1" x14ac:dyDescent="0.3">
      <c r="B38" s="74"/>
      <c r="C38" s="152" t="s">
        <v>182</v>
      </c>
      <c r="D38" s="153"/>
      <c r="E38" s="150" t="s">
        <v>183</v>
      </c>
      <c r="F38" s="151"/>
      <c r="G38" s="77"/>
      <c r="H38" s="78"/>
    </row>
    <row r="39" spans="2:8" ht="35.25" customHeight="1" x14ac:dyDescent="0.3">
      <c r="B39" s="74"/>
      <c r="C39" s="152" t="s">
        <v>184</v>
      </c>
      <c r="D39" s="153"/>
      <c r="E39" s="150" t="s">
        <v>185</v>
      </c>
      <c r="F39" s="151"/>
      <c r="G39" s="77"/>
      <c r="H39" s="78"/>
    </row>
    <row r="40" spans="2:8" ht="59.25" customHeight="1" x14ac:dyDescent="0.3">
      <c r="B40" s="74"/>
      <c r="C40" s="152" t="s">
        <v>186</v>
      </c>
      <c r="D40" s="153"/>
      <c r="E40" s="150" t="s">
        <v>215</v>
      </c>
      <c r="F40" s="151"/>
      <c r="G40" s="77"/>
      <c r="H40" s="78"/>
    </row>
    <row r="41" spans="2:8" ht="29.25" customHeight="1" x14ac:dyDescent="0.3">
      <c r="B41" s="74"/>
      <c r="C41" s="152" t="s">
        <v>29</v>
      </c>
      <c r="D41" s="153"/>
      <c r="E41" s="150" t="s">
        <v>187</v>
      </c>
      <c r="F41" s="151"/>
      <c r="G41" s="77"/>
      <c r="H41" s="78"/>
    </row>
    <row r="42" spans="2:8" ht="82.5" customHeight="1" x14ac:dyDescent="0.3">
      <c r="B42" s="74"/>
      <c r="C42" s="152" t="s">
        <v>189</v>
      </c>
      <c r="D42" s="153"/>
      <c r="E42" s="150" t="s">
        <v>188</v>
      </c>
      <c r="F42" s="151"/>
      <c r="G42" s="77"/>
      <c r="H42" s="78"/>
    </row>
    <row r="43" spans="2:8" ht="46.5" customHeight="1" x14ac:dyDescent="0.3">
      <c r="B43" s="74"/>
      <c r="C43" s="152" t="s">
        <v>39</v>
      </c>
      <c r="D43" s="153"/>
      <c r="E43" s="150" t="s">
        <v>190</v>
      </c>
      <c r="F43" s="151"/>
      <c r="G43" s="77"/>
      <c r="H43" s="78"/>
    </row>
    <row r="44" spans="2:8" ht="6.75" customHeight="1" thickBot="1" x14ac:dyDescent="0.35">
      <c r="B44" s="74"/>
      <c r="C44" s="158"/>
      <c r="D44" s="159"/>
      <c r="E44" s="160"/>
      <c r="F44" s="161"/>
      <c r="G44" s="77"/>
      <c r="H44" s="78"/>
    </row>
    <row r="45" spans="2:8" ht="15" thickTop="1" x14ac:dyDescent="0.3">
      <c r="B45" s="74"/>
      <c r="C45" s="75"/>
      <c r="D45" s="75"/>
      <c r="E45" s="76"/>
      <c r="F45" s="76"/>
      <c r="G45" s="77"/>
      <c r="H45" s="78"/>
    </row>
    <row r="46" spans="2:8" ht="21" customHeight="1" x14ac:dyDescent="0.3">
      <c r="B46" s="147" t="s">
        <v>213</v>
      </c>
      <c r="C46" s="148"/>
      <c r="D46" s="148"/>
      <c r="E46" s="148"/>
      <c r="F46" s="148"/>
      <c r="G46" s="148"/>
      <c r="H46" s="149"/>
    </row>
    <row r="47" spans="2:8" ht="21" customHeight="1" x14ac:dyDescent="0.3">
      <c r="B47" s="147"/>
      <c r="C47" s="148"/>
      <c r="D47" s="148"/>
      <c r="E47" s="148"/>
      <c r="F47" s="148"/>
      <c r="G47" s="148"/>
      <c r="H47" s="149"/>
    </row>
    <row r="48" spans="2:8" ht="20.25" customHeight="1" x14ac:dyDescent="0.3">
      <c r="B48" s="147" t="s">
        <v>214</v>
      </c>
      <c r="C48" s="148"/>
      <c r="D48" s="148"/>
      <c r="E48" s="148"/>
      <c r="F48" s="148"/>
      <c r="G48" s="148"/>
      <c r="H48" s="149"/>
    </row>
    <row r="49" spans="2:8" ht="20.25" customHeight="1" x14ac:dyDescent="0.3">
      <c r="B49" s="147"/>
      <c r="C49" s="148"/>
      <c r="D49" s="148"/>
      <c r="E49" s="148"/>
      <c r="F49" s="148"/>
      <c r="G49" s="148"/>
      <c r="H49" s="149"/>
    </row>
    <row r="50" spans="2:8" ht="20.25" customHeight="1" x14ac:dyDescent="0.3">
      <c r="B50" s="147" t="s">
        <v>199</v>
      </c>
      <c r="C50" s="148"/>
      <c r="D50" s="148"/>
      <c r="E50" s="148"/>
      <c r="F50" s="148"/>
      <c r="G50" s="148"/>
      <c r="H50" s="149"/>
    </row>
    <row r="51" spans="2:8" ht="20.25" customHeight="1" x14ac:dyDescent="0.3">
      <c r="B51" s="147" t="s">
        <v>200</v>
      </c>
      <c r="C51" s="148"/>
      <c r="D51" s="148"/>
      <c r="E51" s="148"/>
      <c r="F51" s="148"/>
      <c r="G51" s="148"/>
      <c r="H51" s="149"/>
    </row>
    <row r="52" spans="2:8" x14ac:dyDescent="0.3">
      <c r="B52" s="147" t="s">
        <v>201</v>
      </c>
      <c r="C52" s="148"/>
      <c r="D52" s="148"/>
      <c r="E52" s="148"/>
      <c r="F52" s="148"/>
      <c r="G52" s="148"/>
      <c r="H52" s="149"/>
    </row>
    <row r="53" spans="2:8" ht="15" thickBot="1" x14ac:dyDescent="0.35">
      <c r="B53" s="79"/>
      <c r="C53" s="80"/>
      <c r="D53" s="80"/>
      <c r="E53" s="80"/>
      <c r="F53" s="80"/>
      <c r="G53" s="80"/>
      <c r="H53" s="81"/>
    </row>
  </sheetData>
  <mergeCells count="69">
    <mergeCell ref="E27:F27"/>
    <mergeCell ref="E28:F28"/>
    <mergeCell ref="E22:F22"/>
    <mergeCell ref="E23:F23"/>
    <mergeCell ref="E24:F24"/>
    <mergeCell ref="E25:F25"/>
    <mergeCell ref="E26:F26"/>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C14:D14"/>
    <mergeCell ref="E14:F14"/>
    <mergeCell ref="C15:D15"/>
    <mergeCell ref="E15:F15"/>
    <mergeCell ref="B50:H50"/>
    <mergeCell ref="B51:H51"/>
    <mergeCell ref="B52:H52"/>
    <mergeCell ref="E30:F30"/>
    <mergeCell ref="C30:D30"/>
    <mergeCell ref="C31:D31"/>
    <mergeCell ref="E31:F31"/>
    <mergeCell ref="C33:D33"/>
    <mergeCell ref="E33:F33"/>
    <mergeCell ref="E40:F40"/>
    <mergeCell ref="C38:D38"/>
    <mergeCell ref="C37:D37"/>
    <mergeCell ref="E37:F37"/>
    <mergeCell ref="E38:F38"/>
    <mergeCell ref="C34:D34"/>
    <mergeCell ref="E34:F34"/>
    <mergeCell ref="C43:D43"/>
    <mergeCell ref="E43:F43"/>
    <mergeCell ref="C39:D39"/>
    <mergeCell ref="C36:D36"/>
    <mergeCell ref="E36:F36"/>
    <mergeCell ref="E39:F39"/>
    <mergeCell ref="C40:D40"/>
    <mergeCell ref="B48:H49"/>
    <mergeCell ref="E35:F35"/>
    <mergeCell ref="C35:D35"/>
    <mergeCell ref="C16:D16"/>
    <mergeCell ref="E16:F16"/>
    <mergeCell ref="E29:F29"/>
    <mergeCell ref="C29:D29"/>
    <mergeCell ref="C32:D32"/>
    <mergeCell ref="E32:F32"/>
    <mergeCell ref="C41:D41"/>
    <mergeCell ref="E41:F41"/>
    <mergeCell ref="C42:D42"/>
    <mergeCell ref="E42:F42"/>
    <mergeCell ref="B46:H47"/>
    <mergeCell ref="C44:D44"/>
    <mergeCell ref="E44:F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O61"/>
  <sheetViews>
    <sheetView showGridLines="0" tabSelected="1" zoomScale="50" zoomScaleNormal="50" workbookViewId="0">
      <pane xSplit="1" ySplit="10" topLeftCell="I45" activePane="bottomRight" state="frozen"/>
      <selection pane="topRight" activeCell="B1" sqref="B1"/>
      <selection pane="bottomLeft" activeCell="A11" sqref="A11"/>
      <selection pane="bottomRight" activeCell="AE54" sqref="AE54"/>
    </sheetView>
  </sheetViews>
  <sheetFormatPr baseColWidth="10" defaultColWidth="11.44140625" defaultRowHeight="13.8" x14ac:dyDescent="0.25"/>
  <cols>
    <col min="1" max="1" width="4" style="2" bestFit="1" customWidth="1"/>
    <col min="2" max="2" width="14.109375" style="2" customWidth="1"/>
    <col min="3" max="3" width="18.44140625" style="2" customWidth="1"/>
    <col min="4" max="4" width="30.88671875" style="2" customWidth="1"/>
    <col min="5" max="5" width="32.44140625" style="1" customWidth="1"/>
    <col min="6" max="6" width="19" style="5" customWidth="1"/>
    <col min="7" max="7" width="17.88671875" style="1" customWidth="1"/>
    <col min="8" max="8" width="16.5546875" style="1" customWidth="1"/>
    <col min="9" max="9" width="6.33203125" style="1" bestFit="1" customWidth="1"/>
    <col min="10" max="10" width="27.33203125" style="1" customWidth="1"/>
    <col min="11" max="11" width="15.5546875" style="1" customWidth="1"/>
    <col min="12" max="12" width="6.33203125" style="1" bestFit="1" customWidth="1"/>
    <col min="13" max="13" width="16" style="1" customWidth="1"/>
    <col min="14" max="14" width="5.88671875" style="1" customWidth="1"/>
    <col min="15" max="15" width="20" style="1" customWidth="1"/>
    <col min="16" max="16" width="38" style="1" customWidth="1"/>
    <col min="17" max="17" width="15.109375" style="1" bestFit="1" customWidth="1"/>
    <col min="18" max="18" width="6.88671875" style="1" customWidth="1"/>
    <col min="19" max="19" width="5" style="1" customWidth="1"/>
    <col min="20" max="20" width="5.5546875" style="1" customWidth="1"/>
    <col min="21" max="21" width="7.109375" style="1" customWidth="1"/>
    <col min="22" max="22" width="6.6640625" style="1" customWidth="1"/>
    <col min="23" max="23" width="7.5546875" style="1" customWidth="1"/>
    <col min="24" max="24" width="8.6640625" style="1" customWidth="1"/>
    <col min="25" max="25" width="10.44140625" style="1" customWidth="1"/>
    <col min="26" max="26" width="9.33203125" style="1" customWidth="1"/>
    <col min="27" max="27" width="9.109375" style="1" customWidth="1"/>
    <col min="28" max="28" width="8.44140625" style="1" customWidth="1"/>
    <col min="29" max="29" width="7.33203125" style="1" customWidth="1"/>
    <col min="30" max="30" width="33.6640625" style="1" customWidth="1"/>
    <col min="31" max="31" width="18.88671875" style="1" customWidth="1"/>
    <col min="32" max="32" width="20.5546875" style="1" customWidth="1"/>
    <col min="33" max="33" width="16.109375" style="1" customWidth="1"/>
    <col min="34" max="34" width="18.5546875" style="1" customWidth="1"/>
    <col min="35" max="35" width="21" style="1" customWidth="1"/>
    <col min="36" max="16384" width="11.44140625" style="1"/>
  </cols>
  <sheetData>
    <row r="1" spans="1:67" s="89" customFormat="1" ht="30" customHeight="1" x14ac:dyDescent="0.25">
      <c r="B1" s="235"/>
      <c r="C1" s="235"/>
      <c r="D1" s="235"/>
      <c r="E1" s="239" t="s">
        <v>204</v>
      </c>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1"/>
      <c r="AG1" s="236" t="s">
        <v>205</v>
      </c>
      <c r="AH1" s="236"/>
      <c r="AI1" s="236" t="s">
        <v>216</v>
      </c>
    </row>
    <row r="2" spans="1:67" s="89" customFormat="1" ht="30" customHeight="1" x14ac:dyDescent="0.25">
      <c r="B2" s="235"/>
      <c r="C2" s="235"/>
      <c r="D2" s="235"/>
      <c r="E2" s="242"/>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4"/>
      <c r="AG2" s="236"/>
      <c r="AH2" s="236"/>
      <c r="AI2" s="236"/>
    </row>
    <row r="3" spans="1:67" s="89" customFormat="1" ht="30" customHeight="1" x14ac:dyDescent="0.25">
      <c r="B3" s="235"/>
      <c r="C3" s="235"/>
      <c r="D3" s="235"/>
      <c r="E3" s="238" t="s">
        <v>206</v>
      </c>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7" t="s">
        <v>207</v>
      </c>
      <c r="AH3" s="237"/>
      <c r="AI3" s="237"/>
    </row>
    <row r="4" spans="1:67" x14ac:dyDescent="0.25">
      <c r="A4" s="26"/>
      <c r="B4" s="27"/>
      <c r="C4" s="26"/>
      <c r="D4" s="26"/>
      <c r="E4" s="7"/>
      <c r="F4" s="25"/>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row>
    <row r="5" spans="1:67" ht="26.25" customHeight="1" x14ac:dyDescent="0.25">
      <c r="A5" s="248" t="s">
        <v>43</v>
      </c>
      <c r="B5" s="249"/>
      <c r="C5" s="245" t="s">
        <v>241</v>
      </c>
      <c r="D5" s="246"/>
      <c r="E5" s="246"/>
      <c r="F5" s="246"/>
      <c r="G5" s="246"/>
      <c r="H5" s="246"/>
      <c r="I5" s="246"/>
      <c r="J5" s="246"/>
      <c r="K5" s="246"/>
      <c r="L5" s="246"/>
      <c r="M5" s="247"/>
      <c r="N5" s="255"/>
      <c r="O5" s="255"/>
      <c r="P5" s="255"/>
      <c r="Q5" s="255"/>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ht="30" customHeight="1" x14ac:dyDescent="0.25">
      <c r="A6" s="248" t="s">
        <v>128</v>
      </c>
      <c r="B6" s="249"/>
      <c r="C6" s="245" t="s">
        <v>310</v>
      </c>
      <c r="D6" s="246"/>
      <c r="E6" s="246"/>
      <c r="F6" s="246"/>
      <c r="G6" s="246"/>
      <c r="H6" s="246"/>
      <c r="I6" s="246"/>
      <c r="J6" s="246"/>
      <c r="K6" s="246"/>
      <c r="L6" s="246"/>
      <c r="M6" s="24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28.5" customHeight="1" x14ac:dyDescent="0.25">
      <c r="A7" s="248" t="s">
        <v>44</v>
      </c>
      <c r="B7" s="249"/>
      <c r="C7" s="252" t="s">
        <v>242</v>
      </c>
      <c r="D7" s="253"/>
      <c r="E7" s="253"/>
      <c r="F7" s="253"/>
      <c r="G7" s="253"/>
      <c r="H7" s="253"/>
      <c r="I7" s="253"/>
      <c r="J7" s="253"/>
      <c r="K7" s="253"/>
      <c r="L7" s="253"/>
      <c r="M7" s="254"/>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row>
    <row r="8" spans="1:67" ht="16.5" customHeight="1" x14ac:dyDescent="0.25">
      <c r="A8" s="228" t="s">
        <v>136</v>
      </c>
      <c r="B8" s="229"/>
      <c r="C8" s="229"/>
      <c r="D8" s="229"/>
      <c r="E8" s="229"/>
      <c r="F8" s="229"/>
      <c r="G8" s="228" t="s">
        <v>137</v>
      </c>
      <c r="H8" s="229"/>
      <c r="I8" s="229"/>
      <c r="J8" s="229"/>
      <c r="K8" s="229"/>
      <c r="L8" s="229"/>
      <c r="M8" s="230"/>
      <c r="N8" s="228" t="s">
        <v>138</v>
      </c>
      <c r="O8" s="229"/>
      <c r="P8" s="229"/>
      <c r="Q8" s="229"/>
      <c r="R8" s="229"/>
      <c r="S8" s="229"/>
      <c r="T8" s="229"/>
      <c r="U8" s="229"/>
      <c r="V8" s="229"/>
      <c r="W8" s="230"/>
      <c r="X8" s="231" t="s">
        <v>139</v>
      </c>
      <c r="Y8" s="232"/>
      <c r="Z8" s="232"/>
      <c r="AA8" s="232"/>
      <c r="AB8" s="232"/>
      <c r="AC8" s="228" t="s">
        <v>34</v>
      </c>
      <c r="AD8" s="229"/>
      <c r="AE8" s="229"/>
      <c r="AF8" s="229"/>
      <c r="AG8" s="229"/>
      <c r="AH8" s="229"/>
      <c r="AI8" s="230"/>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row>
    <row r="9" spans="1:67" ht="16.5" customHeight="1" x14ac:dyDescent="0.25">
      <c r="A9" s="250" t="s">
        <v>0</v>
      </c>
      <c r="B9" s="220" t="s">
        <v>2</v>
      </c>
      <c r="C9" s="218" t="s">
        <v>3</v>
      </c>
      <c r="D9" s="218" t="s">
        <v>42</v>
      </c>
      <c r="E9" s="219" t="s">
        <v>1</v>
      </c>
      <c r="F9" s="217" t="s">
        <v>50</v>
      </c>
      <c r="G9" s="218" t="s">
        <v>133</v>
      </c>
      <c r="H9" s="225" t="s">
        <v>33</v>
      </c>
      <c r="I9" s="226" t="s">
        <v>5</v>
      </c>
      <c r="J9" s="217" t="s">
        <v>86</v>
      </c>
      <c r="K9" s="256" t="s">
        <v>45</v>
      </c>
      <c r="L9" s="226" t="s">
        <v>5</v>
      </c>
      <c r="M9" s="218" t="s">
        <v>48</v>
      </c>
      <c r="N9" s="221" t="s">
        <v>11</v>
      </c>
      <c r="O9" s="223" t="s">
        <v>159</v>
      </c>
      <c r="P9" s="224"/>
      <c r="Q9" s="217" t="s">
        <v>12</v>
      </c>
      <c r="R9" s="216" t="s">
        <v>8</v>
      </c>
      <c r="S9" s="216"/>
      <c r="T9" s="216"/>
      <c r="U9" s="216"/>
      <c r="V9" s="216"/>
      <c r="W9" s="216"/>
      <c r="X9" s="233"/>
      <c r="Y9" s="234"/>
      <c r="Z9" s="234"/>
      <c r="AA9" s="234"/>
      <c r="AB9" s="234"/>
      <c r="AC9" s="221" t="s">
        <v>29</v>
      </c>
      <c r="AD9" s="216" t="s">
        <v>34</v>
      </c>
      <c r="AE9" s="216" t="s">
        <v>35</v>
      </c>
      <c r="AF9" s="216" t="s">
        <v>36</v>
      </c>
      <c r="AG9" s="216" t="s">
        <v>38</v>
      </c>
      <c r="AH9" s="216" t="s">
        <v>37</v>
      </c>
      <c r="AI9" s="216" t="s">
        <v>39</v>
      </c>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row>
    <row r="10" spans="1:67" s="4" customFormat="1" ht="83.25" customHeight="1" x14ac:dyDescent="0.3">
      <c r="A10" s="251"/>
      <c r="B10" s="220"/>
      <c r="C10" s="216"/>
      <c r="D10" s="216"/>
      <c r="E10" s="220"/>
      <c r="F10" s="218"/>
      <c r="G10" s="216"/>
      <c r="H10" s="218"/>
      <c r="I10" s="227"/>
      <c r="J10" s="218"/>
      <c r="K10" s="227"/>
      <c r="L10" s="227"/>
      <c r="M10" s="216"/>
      <c r="N10" s="222"/>
      <c r="O10" s="100" t="s">
        <v>35</v>
      </c>
      <c r="P10" s="100" t="s">
        <v>211</v>
      </c>
      <c r="Q10" s="218"/>
      <c r="R10" s="90" t="s">
        <v>13</v>
      </c>
      <c r="S10" s="90" t="s">
        <v>17</v>
      </c>
      <c r="T10" s="90" t="s">
        <v>28</v>
      </c>
      <c r="U10" s="90" t="s">
        <v>18</v>
      </c>
      <c r="V10" s="90" t="s">
        <v>21</v>
      </c>
      <c r="W10" s="90" t="s">
        <v>24</v>
      </c>
      <c r="X10" s="103" t="s">
        <v>46</v>
      </c>
      <c r="Y10" s="103" t="s">
        <v>5</v>
      </c>
      <c r="Z10" s="103" t="s">
        <v>47</v>
      </c>
      <c r="AA10" s="103" t="s">
        <v>5</v>
      </c>
      <c r="AB10" s="103" t="s">
        <v>49</v>
      </c>
      <c r="AC10" s="222"/>
      <c r="AD10" s="216"/>
      <c r="AE10" s="216"/>
      <c r="AF10" s="216"/>
      <c r="AG10" s="216"/>
      <c r="AH10" s="216"/>
      <c r="AI10" s="216"/>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row>
    <row r="11" spans="1:67" ht="95.25" customHeight="1" x14ac:dyDescent="0.25">
      <c r="A11" s="195">
        <v>1</v>
      </c>
      <c r="B11" s="198" t="s">
        <v>132</v>
      </c>
      <c r="C11" s="198" t="s">
        <v>324</v>
      </c>
      <c r="D11" s="198" t="s">
        <v>325</v>
      </c>
      <c r="E11" s="201" t="s">
        <v>240</v>
      </c>
      <c r="F11" s="198" t="s">
        <v>121</v>
      </c>
      <c r="G11" s="204">
        <v>365</v>
      </c>
      <c r="H11" s="207" t="str">
        <f>IF(G11&lt;=0,"",IF(G11&lt;=2,"Muy Baja",IF(G11&lt;=24,"Baja",IF(G11&lt;=500,"Media",IF(G11&lt;=5000,"Alta","Muy Alta")))))</f>
        <v>Media</v>
      </c>
      <c r="I11" s="189">
        <f>IF(H11="","",IF(H11="Muy Baja",0.2,IF(H11="Baja",0.4,IF(H11="Media",0.6,IF(H11="Alta",0.8,IF(H11="Muy Alta",1,))))))</f>
        <v>0.6</v>
      </c>
      <c r="J11" s="210" t="s">
        <v>152</v>
      </c>
      <c r="K11" s="207" t="str">
        <f>IF(OR(J11='Tabla Impacto'!$C$11,J11='Tabla Impacto'!$D$11),"Leve",IF(OR(J11='Tabla Impacto'!$C$12,J11='Tabla Impacto'!$D$12),"Menor",IF(OR(J11='Tabla Impacto'!$C$13,J11='Tabla Impacto'!$D$13),"Moderado",IF(OR(J11='Tabla Impacto'!$C$14,J11='Tabla Impacto'!$D$14),"Mayor",IF(OR(J11='Tabla Impacto'!$C$15,J11='Tabla Impacto'!$D$15),"Catastrófico","")))))</f>
        <v>Mayor</v>
      </c>
      <c r="L11" s="189">
        <f>IF(K11="","",IF(K11="Leve",0.2,IF(K11="Menor",0.4,IF(K11="Moderado",0.6,IF(K11="Mayor",0.8,IF(K11="Catastrófico",1,))))))</f>
        <v>0.8</v>
      </c>
      <c r="M11" s="192" t="str">
        <f>IF(OR(AND(H11="Muy Baja",K11="Leve"),AND(H11="Muy Baja",K11="Menor"),AND(H11="Baja",K11="Leve")),"Bajo",IF(OR(AND(H11="Muy baja",K11="Moderado"),AND(H11="Baja",K11="Menor"),AND(H11="Baja",K11="Moderado"),AND(H11="Media",K11="Leve"),AND(H11="Media",K11="Menor"),AND(H11="Media",K11="Moderado"),AND(H11="Alta",K11="Leve"),AND(H11="Alta",K11="Menor")),"Moderado",IF(OR(AND(H11="Muy Baja",K11="Mayor"),AND(H11="Baja",K11="Mayor"),AND(H11="Media",K11="Mayor"),AND(H11="Alta",K11="Moderado"),AND(H11="Alta",K11="Mayor"),AND(H11="Muy Alta",K11="Leve"),AND(H11="Muy Alta",K11="Menor"),AND(H11="Muy Alta",K11="Moderado"),AND(H11="Muy Alta",K11="Mayor")),"Alto",IF(OR(AND(H11="Muy Baja",K11="Catastrófico"),AND(H11="Baja",K11="Catastrófico"),AND(H11="Media",K11="Catastrófico"),AND(H11="Alta",K11="Catastrófico"),AND(H11="Muy Alta",K11="Catastrófico")),"Extremo",""))))</f>
        <v>Alto</v>
      </c>
      <c r="N11" s="49">
        <v>1</v>
      </c>
      <c r="O11" s="141" t="s">
        <v>243</v>
      </c>
      <c r="P11" s="141" t="s">
        <v>326</v>
      </c>
      <c r="Q11" s="95" t="str">
        <f>IF(OR(R11="Preventivo",R11="Detectivo"),"Probabilidad",IF(R11="Correctivo","Impacto",""))</f>
        <v>Probabilidad</v>
      </c>
      <c r="R11" s="45" t="s">
        <v>14</v>
      </c>
      <c r="S11" s="45" t="s">
        <v>9</v>
      </c>
      <c r="T11" s="96" t="str">
        <f>IF(AND(R11="Preventivo",S11="Automático"),"50%",IF(AND(R11="Preventivo",S11="Manual"),"40%",IF(AND(R11="Detectivo",S11="Automático"),"40%",IF(AND(R11="Detectivo",S11="Manual"),"30%",IF(AND(R11="Correctivo",S11="Automático"),"35%",IF(AND(R11="Correctivo",S11="Manual"),"25%",""))))))</f>
        <v>40%</v>
      </c>
      <c r="U11" s="45" t="s">
        <v>19</v>
      </c>
      <c r="V11" s="45" t="s">
        <v>22</v>
      </c>
      <c r="W11" s="45" t="s">
        <v>117</v>
      </c>
      <c r="X11" s="97" t="str">
        <f t="shared" ref="X11:X28" si="0">IFERROR(IF(Y11="","",IF(Y11&lt;=0.2,"Muy Baja",IF(Y11&lt;=0.4,"Baja",IF(Y11&lt;=0.6,"Media",IF(Y11&lt;=0.8,"Alta","Muy Alta"))))),"")</f>
        <v>Baja</v>
      </c>
      <c r="Y11" s="98">
        <f>IFERROR(IF(Q11="Probabilidad",(I11-(+I11*T11)),IF(Q11="Impacto",I11,"")),"")</f>
        <v>0.36</v>
      </c>
      <c r="Z11" s="97" t="str">
        <f>IFERROR(IF(AA11="","",IF(AA11&lt;=0.2,"Leve",IF(AA11&lt;=0.4,"Menor",IF(AA11&lt;=0.6,"Moderado",IF(AA11&lt;=0.8,"Mayor","Catastrófico"))))),"")</f>
        <v>Mayor</v>
      </c>
      <c r="AA11" s="98">
        <f t="shared" ref="AA11" si="1">IFERROR(IF(Q11="Impacto",(L11-(+L11*T11)),IF(Q11="Probabilidad",L11,"")),"")</f>
        <v>0.8</v>
      </c>
      <c r="AB11" s="99" t="str">
        <f>IFERROR(IF(OR(AND(X11="Muy Baja",Z11="Leve"),AND(X11="Muy Baja",Z11="Menor"),AND(X11="Baja",Z11="Leve")),"Bajo",IF(OR(AND(X11="Muy baja",Z11="Moderado"),AND(X11="Baja",Z11="Menor"),AND(X11="Baja",Z11="Moderado"),AND(X11="Media",Z11="Leve"),AND(X11="Media",Z11="Menor"),AND(X11="Media",Z11="Moderado"),AND(X11="Alta",Z11="Leve"),AND(X11="Alta",Z11="Menor")),"Moderado",IF(OR(AND(X11="Muy Baja",Z11="Mayor"),AND(X11="Baja",Z11="Mayor"),AND(X11="Media",Z11="Mayor"),AND(X11="Alta",Z11="Moderado"),AND(X11="Alta",Z11="Mayor"),AND(X11="Muy Alta",Z11="Leve"),AND(X11="Muy Alta",Z11="Menor"),AND(X11="Muy Alta",Z11="Moderado"),AND(X11="Muy Alta",Z11="Mayor")),"Alto",IF(OR(AND(X11="Muy Baja",Z11="Catastrófico"),AND(X11="Baja",Z11="Catastrófico"),AND(X11="Media",Z11="Catastrófico"),AND(X11="Alta",Z11="Catastrófico"),AND(X11="Muy Alta",Z11="Catastrófico")),"Extremo","")))),"")</f>
        <v>Alto</v>
      </c>
      <c r="AC11" s="46" t="s">
        <v>134</v>
      </c>
      <c r="AD11" s="141" t="s">
        <v>327</v>
      </c>
      <c r="AE11" s="47" t="s">
        <v>244</v>
      </c>
      <c r="AF11" s="146" t="s">
        <v>246</v>
      </c>
      <c r="AG11" s="47" t="s">
        <v>247</v>
      </c>
      <c r="AH11" s="47" t="s">
        <v>245</v>
      </c>
      <c r="AI11" s="47" t="s">
        <v>41</v>
      </c>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row>
    <row r="12" spans="1:67" x14ac:dyDescent="0.25">
      <c r="A12" s="196"/>
      <c r="B12" s="199"/>
      <c r="C12" s="199"/>
      <c r="D12" s="199"/>
      <c r="E12" s="202"/>
      <c r="F12" s="199"/>
      <c r="G12" s="205"/>
      <c r="H12" s="208"/>
      <c r="I12" s="190"/>
      <c r="J12" s="211"/>
      <c r="K12" s="208"/>
      <c r="L12" s="190"/>
      <c r="M12" s="193"/>
      <c r="N12" s="49"/>
      <c r="O12" s="141"/>
      <c r="P12" s="141"/>
      <c r="Q12" s="95"/>
      <c r="R12" s="45"/>
      <c r="S12" s="45"/>
      <c r="T12" s="96" t="str">
        <f t="shared" ref="T12:T16" si="2">IF(AND(R12="Preventivo",S12="Automático"),"50%",IF(AND(R12="Preventivo",S12="Manual"),"40%",IF(AND(R12="Detectivo",S12="Automático"),"40%",IF(AND(R12="Detectivo",S12="Manual"),"30%",IF(AND(R12="Correctivo",S12="Automático"),"35%",IF(AND(R12="Correctivo",S12="Manual"),"25%",""))))))</f>
        <v/>
      </c>
      <c r="U12" s="45"/>
      <c r="V12" s="45"/>
      <c r="W12" s="45"/>
      <c r="X12" s="97" t="str">
        <f t="shared" si="0"/>
        <v/>
      </c>
      <c r="Y12" s="98" t="str">
        <f>IFERROR(IF(AND(Q11="Probabilidad",Q12="Probabilidad"),(Y11-(+Y11*T12)),IF(Q12="Probabilidad",(I11-(+I11*T12)),IF(Q12="Impacto",Y11,""))),"")</f>
        <v/>
      </c>
      <c r="Z12" s="97" t="str">
        <f t="shared" ref="Z12:Z16" si="3">IFERROR(IF(AA12="","",IF(AA12&lt;=0.2,"Leve",IF(AA12&lt;=0.4,"Menor",IF(AA12&lt;=0.6,"Moderado",IF(AA12&lt;=0.8,"Mayor","Catastrófico"))))),"")</f>
        <v/>
      </c>
      <c r="AA12" s="98" t="str">
        <f t="shared" ref="AA12" si="4">IFERROR(IF(AND(Q11="Impacto",Q12="Impacto"),(AA11-(+AA11*T12)),IF(Q12="Impacto",(L11-(+L11*T12)),IF(Q12="Probabilidad",AA11,""))),"")</f>
        <v/>
      </c>
      <c r="AB12" s="99" t="str">
        <f t="shared" ref="AB12:AB13" si="5">IFERROR(IF(OR(AND(X12="Muy Baja",Z12="Leve"),AND(X12="Muy Baja",Z12="Menor"),AND(X12="Baja",Z12="Leve")),"Bajo",IF(OR(AND(X12="Muy baja",Z12="Moderado"),AND(X12="Baja",Z12="Menor"),AND(X12="Baja",Z12="Moderado"),AND(X12="Media",Z12="Leve"),AND(X12="Media",Z12="Menor"),AND(X12="Media",Z12="Moderado"),AND(X12="Alta",Z12="Leve"),AND(X12="Alta",Z12="Menor")),"Moderado",IF(OR(AND(X12="Muy Baja",Z12="Mayor"),AND(X12="Baja",Z12="Mayor"),AND(X12="Media",Z12="Mayor"),AND(X12="Alta",Z12="Moderado"),AND(X12="Alta",Z12="Mayor"),AND(X12="Muy Alta",Z12="Leve"),AND(X12="Muy Alta",Z12="Menor"),AND(X12="Muy Alta",Z12="Moderado"),AND(X12="Muy Alta",Z12="Mayor")),"Alto",IF(OR(AND(X12="Muy Baja",Z12="Catastrófico"),AND(X12="Baja",Z12="Catastrófico"),AND(X12="Media",Z12="Catastrófico"),AND(X12="Alta",Z12="Catastrófico"),AND(X12="Muy Alta",Z12="Catastrófico")),"Extremo","")))),"")</f>
        <v/>
      </c>
      <c r="AC12" s="46"/>
      <c r="AD12" s="142"/>
      <c r="AE12" s="141"/>
      <c r="AF12" s="141"/>
      <c r="AG12" s="141"/>
      <c r="AH12" s="141"/>
      <c r="AI12" s="141"/>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row>
    <row r="13" spans="1:67" ht="80.25" customHeight="1" x14ac:dyDescent="0.25">
      <c r="A13" s="196"/>
      <c r="B13" s="199"/>
      <c r="C13" s="199"/>
      <c r="D13" s="199"/>
      <c r="E13" s="202"/>
      <c r="F13" s="199"/>
      <c r="G13" s="205"/>
      <c r="H13" s="208"/>
      <c r="I13" s="190"/>
      <c r="J13" s="211"/>
      <c r="K13" s="208"/>
      <c r="L13" s="190"/>
      <c r="M13" s="193"/>
      <c r="N13" s="49"/>
      <c r="O13" s="44"/>
      <c r="P13" s="44"/>
      <c r="Q13" s="95" t="str">
        <f>IF(OR(R13="Preventivo",R13="Detectivo"),"Probabilidad",IF(R13="Correctivo","Impacto",""))</f>
        <v/>
      </c>
      <c r="R13" s="45"/>
      <c r="S13" s="45"/>
      <c r="T13" s="96" t="str">
        <f t="shared" si="2"/>
        <v/>
      </c>
      <c r="U13" s="45"/>
      <c r="V13" s="45"/>
      <c r="W13" s="45"/>
      <c r="X13" s="97" t="str">
        <f t="shared" si="0"/>
        <v/>
      </c>
      <c r="Y13" s="98" t="str">
        <f>IFERROR(IF(AND(Q12="Probabilidad",Q13="Probabilidad"),(Y12-(+Y12*T13)),IF(AND(Q12="Impacto",Q13="Probabilidad"),(Y11-(+Y11*T13)),IF(Q13="Impacto",Y12,""))),"")</f>
        <v/>
      </c>
      <c r="Z13" s="97" t="str">
        <f t="shared" si="3"/>
        <v/>
      </c>
      <c r="AA13" s="98" t="str">
        <f t="shared" ref="AA13:AA16" si="6">IFERROR(IF(AND(Q12="Impacto",Q13="Impacto"),(AA12-(+AA12*T13)),IF(AND(Q12="Probabilidad",Q13="Impacto"),(AA11-(+AA11*T13)),IF(Q13="Probabilidad",AA12,""))),"")</f>
        <v/>
      </c>
      <c r="AB13" s="99" t="str">
        <f t="shared" si="5"/>
        <v/>
      </c>
      <c r="AC13" s="46"/>
      <c r="AD13" s="47"/>
      <c r="AE13" s="43"/>
      <c r="AF13" s="101"/>
      <c r="AG13" s="48"/>
      <c r="AH13" s="47"/>
      <c r="AI13" s="43"/>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row>
    <row r="14" spans="1:67" ht="64.5" customHeight="1" x14ac:dyDescent="0.25">
      <c r="A14" s="196"/>
      <c r="B14" s="199"/>
      <c r="C14" s="199"/>
      <c r="D14" s="199"/>
      <c r="E14" s="202"/>
      <c r="F14" s="199"/>
      <c r="G14" s="205"/>
      <c r="H14" s="208"/>
      <c r="I14" s="190"/>
      <c r="J14" s="211"/>
      <c r="K14" s="208"/>
      <c r="L14" s="190"/>
      <c r="M14" s="193"/>
      <c r="N14" s="49"/>
      <c r="O14" s="141"/>
      <c r="P14" s="141"/>
      <c r="Q14" s="95" t="str">
        <f t="shared" ref="Q14:Q16" si="7">IF(OR(R14="Preventivo",R14="Detectivo"),"Probabilidad",IF(R14="Correctivo","Impacto",""))</f>
        <v/>
      </c>
      <c r="R14" s="45"/>
      <c r="S14" s="45"/>
      <c r="T14" s="96" t="str">
        <f t="shared" si="2"/>
        <v/>
      </c>
      <c r="U14" s="45"/>
      <c r="V14" s="45"/>
      <c r="W14" s="45"/>
      <c r="X14" s="97" t="str">
        <f t="shared" si="0"/>
        <v/>
      </c>
      <c r="Y14" s="98" t="str">
        <f>IFERROR(IF(AND(Q13="Probabilidad",Q14="Probabilidad"),(Y13-(+Y13*T14)),IF(AND(Q13="Impacto",Q14="Probabilidad"),(Y12-(+Y12*T14)),IF(Q14="Impacto",Y13,""))),"")</f>
        <v/>
      </c>
      <c r="Z14" s="97" t="str">
        <f t="shared" si="3"/>
        <v/>
      </c>
      <c r="AA14" s="98" t="str">
        <f t="shared" si="6"/>
        <v/>
      </c>
      <c r="AB14" s="99" t="str">
        <f>IFERROR(IF(OR(AND(X14="Muy Baja",Z14="Leve"),AND(X14="Muy Baja",Z14="Menor"),AND(X14="Baja",Z14="Leve")),"Bajo",IF(OR(AND(X14="Muy baja",Z14="Moderado"),AND(X14="Baja",Z14="Menor"),AND(X14="Baja",Z14="Moderado"),AND(X14="Media",Z14="Leve"),AND(X14="Media",Z14="Menor"),AND(X14="Media",Z14="Moderado"),AND(X14="Alta",Z14="Leve"),AND(X14="Alta",Z14="Menor")),"Moderado",IF(OR(AND(X14="Muy Baja",Z14="Mayor"),AND(X14="Baja",Z14="Mayor"),AND(X14="Media",Z14="Mayor"),AND(X14="Alta",Z14="Moderado"),AND(X14="Alta",Z14="Mayor"),AND(X14="Muy Alta",Z14="Leve"),AND(X14="Muy Alta",Z14="Menor"),AND(X14="Muy Alta",Z14="Moderado"),AND(X14="Muy Alta",Z14="Mayor")),"Alto",IF(OR(AND(X14="Muy Baja",Z14="Catastrófico"),AND(X14="Baja",Z14="Catastrófico"),AND(X14="Media",Z14="Catastrófico"),AND(X14="Alta",Z14="Catastrófico"),AND(X14="Muy Alta",Z14="Catastrófico")),"Extremo","")))),"")</f>
        <v/>
      </c>
      <c r="AC14" s="46"/>
      <c r="AD14" s="47"/>
      <c r="AE14" s="43"/>
      <c r="AF14" s="101"/>
      <c r="AG14" s="48"/>
      <c r="AH14" s="47"/>
      <c r="AI14" s="43"/>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x14ac:dyDescent="0.25">
      <c r="A15" s="196"/>
      <c r="B15" s="199"/>
      <c r="C15" s="199"/>
      <c r="D15" s="199"/>
      <c r="E15" s="202"/>
      <c r="F15" s="199"/>
      <c r="G15" s="205"/>
      <c r="H15" s="208"/>
      <c r="I15" s="190"/>
      <c r="J15" s="211"/>
      <c r="K15" s="208"/>
      <c r="L15" s="190"/>
      <c r="M15" s="193"/>
      <c r="N15" s="49"/>
      <c r="O15" s="141"/>
      <c r="P15" s="141"/>
      <c r="Q15" s="95" t="str">
        <f t="shared" si="7"/>
        <v/>
      </c>
      <c r="R15" s="45"/>
      <c r="S15" s="45"/>
      <c r="T15" s="96" t="str">
        <f t="shared" si="2"/>
        <v/>
      </c>
      <c r="U15" s="45"/>
      <c r="V15" s="45"/>
      <c r="W15" s="45"/>
      <c r="X15" s="97" t="str">
        <f t="shared" si="0"/>
        <v/>
      </c>
      <c r="Y15" s="98" t="str">
        <f>IFERROR(IF(AND(Q14="Probabilidad",Q15="Probabilidad"),(Y14-(+Y14*T15)),IF(AND(Q14="Impacto",Q15="Probabilidad"),(Y13-(+Y13*T15)),IF(Q15="Impacto",Y14,""))),"")</f>
        <v/>
      </c>
      <c r="Z15" s="97" t="str">
        <f t="shared" si="3"/>
        <v/>
      </c>
      <c r="AA15" s="98" t="str">
        <f t="shared" si="6"/>
        <v/>
      </c>
      <c r="AB15" s="99" t="str">
        <f t="shared" ref="AB15:AB16" si="8">IFERROR(IF(OR(AND(X15="Muy Baja",Z15="Leve"),AND(X15="Muy Baja",Z15="Menor"),AND(X15="Baja",Z15="Leve")),"Bajo",IF(OR(AND(X15="Muy baja",Z15="Moderado"),AND(X15="Baja",Z15="Menor"),AND(X15="Baja",Z15="Moderado"),AND(X15="Media",Z15="Leve"),AND(X15="Media",Z15="Menor"),AND(X15="Media",Z15="Moderado"),AND(X15="Alta",Z15="Leve"),AND(X15="Alta",Z15="Menor")),"Moderado",IF(OR(AND(X15="Muy Baja",Z15="Mayor"),AND(X15="Baja",Z15="Mayor"),AND(X15="Media",Z15="Mayor"),AND(X15="Alta",Z15="Moderado"),AND(X15="Alta",Z15="Mayor"),AND(X15="Muy Alta",Z15="Leve"),AND(X15="Muy Alta",Z15="Menor"),AND(X15="Muy Alta",Z15="Moderado"),AND(X15="Muy Alta",Z15="Mayor")),"Alto",IF(OR(AND(X15="Muy Baja",Z15="Catastrófico"),AND(X15="Baja",Z15="Catastrófico"),AND(X15="Media",Z15="Catastrófico"),AND(X15="Alta",Z15="Catastrófico"),AND(X15="Muy Alta",Z15="Catastrófico")),"Extremo","")))),"")</f>
        <v/>
      </c>
      <c r="AC15" s="46"/>
      <c r="AD15" s="47"/>
      <c r="AE15" s="43"/>
      <c r="AF15" s="101"/>
      <c r="AG15" s="48"/>
      <c r="AH15" s="47"/>
      <c r="AI15" s="43"/>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x14ac:dyDescent="0.25">
      <c r="A16" s="197"/>
      <c r="B16" s="200"/>
      <c r="C16" s="200"/>
      <c r="D16" s="200"/>
      <c r="E16" s="203"/>
      <c r="F16" s="200"/>
      <c r="G16" s="206"/>
      <c r="H16" s="209"/>
      <c r="I16" s="191"/>
      <c r="J16" s="212"/>
      <c r="K16" s="209"/>
      <c r="L16" s="191"/>
      <c r="M16" s="194"/>
      <c r="N16" s="49"/>
      <c r="O16" s="141"/>
      <c r="P16" s="141"/>
      <c r="Q16" s="95" t="str">
        <f t="shared" si="7"/>
        <v/>
      </c>
      <c r="R16" s="45"/>
      <c r="S16" s="45"/>
      <c r="T16" s="96" t="str">
        <f t="shared" si="2"/>
        <v/>
      </c>
      <c r="U16" s="45"/>
      <c r="V16" s="45"/>
      <c r="W16" s="45"/>
      <c r="X16" s="97" t="str">
        <f t="shared" si="0"/>
        <v/>
      </c>
      <c r="Y16" s="98" t="str">
        <f>IFERROR(IF(AND(Q15="Probabilidad",Q16="Probabilidad"),(Y15-(+Y15*T16)),IF(AND(Q15="Impacto",Q16="Probabilidad"),(Y14-(+Y14*T16)),IF(Q16="Impacto",Y15,""))),"")</f>
        <v/>
      </c>
      <c r="Z16" s="97" t="str">
        <f t="shared" si="3"/>
        <v/>
      </c>
      <c r="AA16" s="98" t="str">
        <f t="shared" si="6"/>
        <v/>
      </c>
      <c r="AB16" s="99" t="str">
        <f t="shared" si="8"/>
        <v/>
      </c>
      <c r="AC16" s="46"/>
      <c r="AD16" s="47"/>
      <c r="AE16" s="43"/>
      <c r="AF16" s="101"/>
      <c r="AG16" s="48"/>
      <c r="AH16" s="47"/>
      <c r="AI16" s="43"/>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7" ht="68.400000000000006" x14ac:dyDescent="0.25">
      <c r="A17" s="195">
        <v>2</v>
      </c>
      <c r="B17" s="198" t="s">
        <v>132</v>
      </c>
      <c r="C17" s="198" t="s">
        <v>255</v>
      </c>
      <c r="D17" s="198" t="s">
        <v>256</v>
      </c>
      <c r="E17" s="201" t="s">
        <v>248</v>
      </c>
      <c r="F17" s="213" t="s">
        <v>121</v>
      </c>
      <c r="G17" s="204">
        <v>365</v>
      </c>
      <c r="H17" s="207" t="str">
        <f>IF(G17&lt;=0,"",IF(G17&lt;=2,"Muy Baja",IF(G17&lt;=24,"Baja",IF(G17&lt;=500,"Media",IF(G17&lt;=5000,"Alta","Muy Alta")))))</f>
        <v>Media</v>
      </c>
      <c r="I17" s="189">
        <f>IF(H17="","",IF(H17="Muy Baja",0.2,IF(H17="Baja",0.4,IF(H17="Media",0.6,IF(H17="Alta",0.8,IF(H17="Muy Alta",1,))))))</f>
        <v>0.6</v>
      </c>
      <c r="J17" s="210" t="s">
        <v>152</v>
      </c>
      <c r="K17" s="207" t="str">
        <f>IF(OR(J17='Tabla Impacto'!$C$11,J17='Tabla Impacto'!$D$11),"Leve",IF(OR(J17='Tabla Impacto'!$C$12,J17='Tabla Impacto'!$D$12),"Menor",IF(OR(J17='Tabla Impacto'!$C$13,J17='Tabla Impacto'!$D$13),"Moderado",IF(OR(J17='Tabla Impacto'!$C$14,J17='Tabla Impacto'!$D$14),"Mayor",IF(OR(J17='Tabla Impacto'!$C$15,J17='Tabla Impacto'!$D$15),"Catastrófico","")))))</f>
        <v>Mayor</v>
      </c>
      <c r="L17" s="189">
        <f>IF(K17="","",IF(K17="Leve",0.2,IF(K17="Menor",0.4,IF(K17="Moderado",0.6,IF(K17="Mayor",0.8,IF(K17="Catastrófico",1,))))))</f>
        <v>0.8</v>
      </c>
      <c r="M17" s="192" t="str">
        <f>IF(OR(AND(H17="Muy Baja",K17="Leve"),AND(H17="Muy Baja",K17="Menor"),AND(H17="Baja",K17="Leve")),"Bajo",IF(OR(AND(H17="Muy baja",K17="Moderado"),AND(H17="Baja",K17="Menor"),AND(H17="Baja",K17="Moderado"),AND(H17="Media",K17="Leve"),AND(H17="Media",K17="Menor"),AND(H17="Media",K17="Moderado"),AND(H17="Alta",K17="Leve"),AND(H17="Alta",K17="Menor")),"Moderado",IF(OR(AND(H17="Muy Baja",K17="Mayor"),AND(H17="Baja",K17="Mayor"),AND(H17="Media",K17="Mayor"),AND(H17="Alta",K17="Moderado"),AND(H17="Alta",K17="Mayor"),AND(H17="Muy Alta",K17="Leve"),AND(H17="Muy Alta",K17="Menor"),AND(H17="Muy Alta",K17="Moderado"),AND(H17="Muy Alta",K17="Mayor")),"Alto",IF(OR(AND(H17="Muy Baja",K17="Catastrófico"),AND(H17="Baja",K17="Catastrófico"),AND(H17="Media",K17="Catastrófico"),AND(H17="Alta",K17="Catastrófico"),AND(H17="Muy Alta",K17="Catastrófico")),"Extremo",""))))</f>
        <v>Alto</v>
      </c>
      <c r="N17" s="49">
        <v>1</v>
      </c>
      <c r="O17" s="141" t="s">
        <v>231</v>
      </c>
      <c r="P17" s="141" t="s">
        <v>269</v>
      </c>
      <c r="Q17" s="95" t="str">
        <f>IF(OR(R17="Preventivo",R17="Detectivo"),"Probabilidad",IF(R17="Correctivo","Impacto",""))</f>
        <v>Probabilidad</v>
      </c>
      <c r="R17" s="45" t="s">
        <v>14</v>
      </c>
      <c r="S17" s="45" t="s">
        <v>9</v>
      </c>
      <c r="T17" s="96" t="str">
        <f>IF(AND(R17="Preventivo",S17="Automático"),"50%",IF(AND(R17="Preventivo",S17="Manual"),"40%",IF(AND(R17="Detectivo",S17="Automático"),"40%",IF(AND(R17="Detectivo",S17="Manual"),"30%",IF(AND(R17="Correctivo",S17="Automático"),"35%",IF(AND(R17="Correctivo",S17="Manual"),"25%",""))))))</f>
        <v>40%</v>
      </c>
      <c r="U17" s="45" t="s">
        <v>19</v>
      </c>
      <c r="V17" s="45" t="s">
        <v>22</v>
      </c>
      <c r="W17" s="45" t="s">
        <v>117</v>
      </c>
      <c r="X17" s="97" t="str">
        <f t="shared" si="0"/>
        <v>Baja</v>
      </c>
      <c r="Y17" s="98">
        <f>IFERROR(IF(Q17="Probabilidad",(I17-(+I17*T17)),IF(Q17="Impacto",I17,"")),"")</f>
        <v>0.36</v>
      </c>
      <c r="Z17" s="97" t="str">
        <f>IFERROR(IF(AA17="","",IF(AA17&lt;=0.2,"Leve",IF(AA17&lt;=0.4,"Menor",IF(AA17&lt;=0.6,"Moderado",IF(AA17&lt;=0.8,"Mayor","Catastrófico"))))),"")</f>
        <v>Mayor</v>
      </c>
      <c r="AA17" s="98">
        <f t="shared" ref="AA17" si="9">IFERROR(IF(Q17="Impacto",(L17-(+L17*T17)),IF(Q17="Probabilidad",L17,"")),"")</f>
        <v>0.8</v>
      </c>
      <c r="AB17" s="99" t="str">
        <f>IFERROR(IF(OR(AND(X17="Muy Baja",Z17="Leve"),AND(X17="Muy Baja",Z17="Menor"),AND(X17="Baja",Z17="Leve")),"Bajo",IF(OR(AND(X17="Muy baja",Z17="Moderado"),AND(X17="Baja",Z17="Menor"),AND(X17="Baja",Z17="Moderado"),AND(X17="Media",Z17="Leve"),AND(X17="Media",Z17="Menor"),AND(X17="Media",Z17="Moderado"),AND(X17="Alta",Z17="Leve"),AND(X17="Alta",Z17="Menor")),"Moderado",IF(OR(AND(X17="Muy Baja",Z17="Mayor"),AND(X17="Baja",Z17="Mayor"),AND(X17="Media",Z17="Mayor"),AND(X17="Alta",Z17="Moderado"),AND(X17="Alta",Z17="Mayor"),AND(X17="Muy Alta",Z17="Leve"),AND(X17="Muy Alta",Z17="Menor"),AND(X17="Muy Alta",Z17="Moderado"),AND(X17="Muy Alta",Z17="Mayor")),"Alto",IF(OR(AND(X17="Muy Baja",Z17="Catastrófico"),AND(X17="Baja",Z17="Catastrófico"),AND(X17="Media",Z17="Catastrófico"),AND(X17="Alta",Z17="Catastrófico"),AND(X17="Muy Alta",Z17="Catastrófico")),"Extremo","")))),"")</f>
        <v>Alto</v>
      </c>
      <c r="AC17" s="46" t="s">
        <v>134</v>
      </c>
      <c r="AD17" s="47" t="s">
        <v>249</v>
      </c>
      <c r="AE17" s="43" t="s">
        <v>231</v>
      </c>
      <c r="AF17" s="101" t="s">
        <v>246</v>
      </c>
      <c r="AG17" s="48" t="s">
        <v>250</v>
      </c>
      <c r="AH17" s="47" t="s">
        <v>251</v>
      </c>
      <c r="AI17" s="43" t="s">
        <v>41</v>
      </c>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row>
    <row r="18" spans="1:67" ht="68.400000000000006" x14ac:dyDescent="0.25">
      <c r="A18" s="196"/>
      <c r="B18" s="199"/>
      <c r="C18" s="199"/>
      <c r="D18" s="199"/>
      <c r="E18" s="202"/>
      <c r="F18" s="214"/>
      <c r="G18" s="205"/>
      <c r="H18" s="208"/>
      <c r="I18" s="190"/>
      <c r="J18" s="211"/>
      <c r="K18" s="208"/>
      <c r="L18" s="190"/>
      <c r="M18" s="193"/>
      <c r="N18" s="49">
        <v>2</v>
      </c>
      <c r="O18" s="141" t="s">
        <v>231</v>
      </c>
      <c r="P18" s="144" t="s">
        <v>266</v>
      </c>
      <c r="Q18" s="95" t="s">
        <v>4</v>
      </c>
      <c r="R18" s="45" t="s">
        <v>14</v>
      </c>
      <c r="S18" s="45" t="s">
        <v>9</v>
      </c>
      <c r="T18" s="96" t="str">
        <f t="shared" ref="T18:T22" si="10">IF(AND(R18="Preventivo",S18="Automático"),"50%",IF(AND(R18="Preventivo",S18="Manual"),"40%",IF(AND(R18="Detectivo",S18="Automático"),"40%",IF(AND(R18="Detectivo",S18="Manual"),"30%",IF(AND(R18="Correctivo",S18="Automático"),"35%",IF(AND(R18="Correctivo",S18="Manual"),"25%",""))))))</f>
        <v>40%</v>
      </c>
      <c r="U18" s="45" t="s">
        <v>19</v>
      </c>
      <c r="V18" s="45" t="s">
        <v>22</v>
      </c>
      <c r="W18" s="45" t="s">
        <v>117</v>
      </c>
      <c r="X18" s="97" t="str">
        <f t="shared" si="0"/>
        <v>Baja</v>
      </c>
      <c r="Y18" s="98">
        <f>IFERROR(IF(AND(Q17="Probabilidad",Q18="Probabilidad"),(Y17-(+Y17*T18)),IF(Q18="Probabilidad",(I17-(+I17*T18)),IF(Q18="Impacto",Y17,""))),"")</f>
        <v>0.216</v>
      </c>
      <c r="Z18" s="97" t="str">
        <f t="shared" ref="Z18:Z22" si="11">IFERROR(IF(AA18="","",IF(AA18&lt;=0.2,"Leve",IF(AA18&lt;=0.4,"Menor",IF(AA18&lt;=0.6,"Moderado",IF(AA18&lt;=0.8,"Mayor","Catastrófico"))))),"")</f>
        <v>Mayor</v>
      </c>
      <c r="AA18" s="98">
        <f t="shared" ref="AA18" si="12">IFERROR(IF(AND(Q17="Impacto",Q18="Impacto"),(AA17-(+AA17*T18)),IF(Q18="Impacto",(L17-(+L17*T18)),IF(Q18="Probabilidad",AA17,""))),"")</f>
        <v>0.8</v>
      </c>
      <c r="AB18" s="99" t="str">
        <f t="shared" ref="AB18:AB19" si="13">IFERROR(IF(OR(AND(X18="Muy Baja",Z18="Leve"),AND(X18="Muy Baja",Z18="Menor"),AND(X18="Baja",Z18="Leve")),"Bajo",IF(OR(AND(X18="Muy baja",Z18="Moderado"),AND(X18="Baja",Z18="Menor"),AND(X18="Baja",Z18="Moderado"),AND(X18="Media",Z18="Leve"),AND(X18="Media",Z18="Menor"),AND(X18="Media",Z18="Moderado"),AND(X18="Alta",Z18="Leve"),AND(X18="Alta",Z18="Menor")),"Moderado",IF(OR(AND(X18="Muy Baja",Z18="Mayor"),AND(X18="Baja",Z18="Mayor"),AND(X18="Media",Z18="Mayor"),AND(X18="Alta",Z18="Moderado"),AND(X18="Alta",Z18="Mayor"),AND(X18="Muy Alta",Z18="Leve"),AND(X18="Muy Alta",Z18="Menor"),AND(X18="Muy Alta",Z18="Moderado"),AND(X18="Muy Alta",Z18="Mayor")),"Alto",IF(OR(AND(X18="Muy Baja",Z18="Catastrófico"),AND(X18="Baja",Z18="Catastrófico"),AND(X18="Media",Z18="Catastrófico"),AND(X18="Alta",Z18="Catastrófico"),AND(X18="Muy Alta",Z18="Catastrófico")),"Extremo","")))),"")</f>
        <v>Alto</v>
      </c>
      <c r="AC18" s="46" t="s">
        <v>134</v>
      </c>
      <c r="AD18" s="47" t="s">
        <v>267</v>
      </c>
      <c r="AE18" s="43" t="s">
        <v>231</v>
      </c>
      <c r="AF18" s="101" t="s">
        <v>246</v>
      </c>
      <c r="AG18" s="48" t="s">
        <v>250</v>
      </c>
      <c r="AH18" s="47" t="s">
        <v>251</v>
      </c>
      <c r="AI18" s="43" t="s">
        <v>41</v>
      </c>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row>
    <row r="19" spans="1:67" ht="68.400000000000006" x14ac:dyDescent="0.25">
      <c r="A19" s="196"/>
      <c r="B19" s="199"/>
      <c r="C19" s="199"/>
      <c r="D19" s="199"/>
      <c r="E19" s="202"/>
      <c r="F19" s="214"/>
      <c r="G19" s="205"/>
      <c r="H19" s="208"/>
      <c r="I19" s="190"/>
      <c r="J19" s="211"/>
      <c r="K19" s="208"/>
      <c r="L19" s="190"/>
      <c r="M19" s="193"/>
      <c r="N19" s="49">
        <v>3</v>
      </c>
      <c r="O19" s="44" t="s">
        <v>275</v>
      </c>
      <c r="P19" s="44" t="s">
        <v>270</v>
      </c>
      <c r="Q19" s="95" t="s">
        <v>4</v>
      </c>
      <c r="R19" s="45" t="s">
        <v>14</v>
      </c>
      <c r="S19" s="45" t="s">
        <v>9</v>
      </c>
      <c r="T19" s="96" t="str">
        <f t="shared" si="10"/>
        <v>40%</v>
      </c>
      <c r="U19" s="45" t="s">
        <v>19</v>
      </c>
      <c r="V19" s="45" t="s">
        <v>23</v>
      </c>
      <c r="W19" s="45" t="s">
        <v>117</v>
      </c>
      <c r="X19" s="97" t="str">
        <f t="shared" si="0"/>
        <v>Muy Baja</v>
      </c>
      <c r="Y19" s="98">
        <f>IFERROR(IF(AND(Q18="Probabilidad",Q19="Probabilidad"),(Y18-(+Y18*T19)),IF(AND(Q18="Impacto",Q19="Probabilidad"),(Y17-(+Y17*T19)),IF(Q19="Impacto",Y18,""))),"")</f>
        <v>0.12959999999999999</v>
      </c>
      <c r="Z19" s="97" t="str">
        <f t="shared" si="11"/>
        <v>Mayor</v>
      </c>
      <c r="AA19" s="98">
        <f t="shared" ref="AA19:AA22" si="14">IFERROR(IF(AND(Q18="Impacto",Q19="Impacto"),(AA18-(+AA18*T19)),IF(AND(Q18="Probabilidad",Q19="Impacto"),(AA17-(+AA17*T19)),IF(Q19="Probabilidad",AA18,""))),"")</f>
        <v>0.8</v>
      </c>
      <c r="AB19" s="99" t="str">
        <f t="shared" si="13"/>
        <v>Alto</v>
      </c>
      <c r="AC19" s="46" t="s">
        <v>134</v>
      </c>
      <c r="AD19" s="47" t="s">
        <v>252</v>
      </c>
      <c r="AE19" s="43" t="s">
        <v>244</v>
      </c>
      <c r="AF19" s="101" t="s">
        <v>246</v>
      </c>
      <c r="AG19" s="48" t="s">
        <v>250</v>
      </c>
      <c r="AH19" s="47" t="s">
        <v>268</v>
      </c>
      <c r="AI19" s="43" t="s">
        <v>41</v>
      </c>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row>
    <row r="20" spans="1:67" x14ac:dyDescent="0.25">
      <c r="A20" s="196"/>
      <c r="B20" s="199"/>
      <c r="C20" s="199"/>
      <c r="D20" s="199"/>
      <c r="E20" s="202"/>
      <c r="F20" s="214"/>
      <c r="G20" s="205"/>
      <c r="H20" s="208"/>
      <c r="I20" s="190"/>
      <c r="J20" s="211"/>
      <c r="K20" s="208"/>
      <c r="L20" s="190"/>
      <c r="M20" s="193"/>
      <c r="N20" s="49">
        <v>4</v>
      </c>
      <c r="O20" s="141"/>
      <c r="P20" s="141"/>
      <c r="Q20" s="95" t="str">
        <f t="shared" ref="Q20:Q22" si="15">IF(OR(R20="Preventivo",R20="Detectivo"),"Probabilidad",IF(R20="Correctivo","Impacto",""))</f>
        <v/>
      </c>
      <c r="R20" s="45"/>
      <c r="S20" s="45"/>
      <c r="T20" s="96" t="str">
        <f t="shared" si="10"/>
        <v/>
      </c>
      <c r="U20" s="45"/>
      <c r="V20" s="45"/>
      <c r="W20" s="45"/>
      <c r="X20" s="97" t="str">
        <f t="shared" si="0"/>
        <v/>
      </c>
      <c r="Y20" s="98" t="str">
        <f>IFERROR(IF(AND(Q19="Probabilidad",Q20="Probabilidad"),(Y19-(+Y19*T20)),IF(AND(Q19="Impacto",Q20="Probabilidad"),(Y18-(+Y18*T20)),IF(Q20="Impacto",Y19,""))),"")</f>
        <v/>
      </c>
      <c r="Z20" s="97" t="str">
        <f t="shared" si="11"/>
        <v/>
      </c>
      <c r="AA20" s="98" t="str">
        <f t="shared" si="14"/>
        <v/>
      </c>
      <c r="AB20" s="99" t="str">
        <f>IFERROR(IF(OR(AND(X20="Muy Baja",Z20="Leve"),AND(X20="Muy Baja",Z20="Menor"),AND(X20="Baja",Z20="Leve")),"Bajo",IF(OR(AND(X20="Muy baja",Z20="Moderado"),AND(X20="Baja",Z20="Menor"),AND(X20="Baja",Z20="Moderado"),AND(X20="Media",Z20="Leve"),AND(X20="Media",Z20="Menor"),AND(X20="Media",Z20="Moderado"),AND(X20="Alta",Z20="Leve"),AND(X20="Alta",Z20="Menor")),"Moderado",IF(OR(AND(X20="Muy Baja",Z20="Mayor"),AND(X20="Baja",Z20="Mayor"),AND(X20="Media",Z20="Mayor"),AND(X20="Alta",Z20="Moderado"),AND(X20="Alta",Z20="Mayor"),AND(X20="Muy Alta",Z20="Leve"),AND(X20="Muy Alta",Z20="Menor"),AND(X20="Muy Alta",Z20="Moderado"),AND(X20="Muy Alta",Z20="Mayor")),"Alto",IF(OR(AND(X20="Muy Baja",Z20="Catastrófico"),AND(X20="Baja",Z20="Catastrófico"),AND(X20="Media",Z20="Catastrófico"),AND(X20="Alta",Z20="Catastrófico"),AND(X20="Muy Alta",Z20="Catastrófico")),"Extremo","")))),"")</f>
        <v/>
      </c>
      <c r="AC20" s="46"/>
      <c r="AD20" s="47"/>
      <c r="AE20" s="43"/>
      <c r="AF20" s="101"/>
      <c r="AG20" s="48"/>
      <c r="AH20" s="47"/>
      <c r="AI20" s="43"/>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row>
    <row r="21" spans="1:67" x14ac:dyDescent="0.25">
      <c r="A21" s="196"/>
      <c r="B21" s="199"/>
      <c r="C21" s="199"/>
      <c r="D21" s="199"/>
      <c r="E21" s="202"/>
      <c r="F21" s="214"/>
      <c r="G21" s="205"/>
      <c r="H21" s="208"/>
      <c r="I21" s="190"/>
      <c r="J21" s="211"/>
      <c r="K21" s="208"/>
      <c r="L21" s="190"/>
      <c r="M21" s="193"/>
      <c r="N21" s="49">
        <v>5</v>
      </c>
      <c r="O21" s="141"/>
      <c r="P21" s="141"/>
      <c r="Q21" s="95" t="str">
        <f t="shared" si="15"/>
        <v/>
      </c>
      <c r="R21" s="45"/>
      <c r="S21" s="45"/>
      <c r="T21" s="96" t="str">
        <f t="shared" si="10"/>
        <v/>
      </c>
      <c r="U21" s="45"/>
      <c r="V21" s="45"/>
      <c r="W21" s="45"/>
      <c r="X21" s="97" t="str">
        <f t="shared" si="0"/>
        <v/>
      </c>
      <c r="Y21" s="98" t="str">
        <f>IFERROR(IF(AND(Q20="Probabilidad",Q21="Probabilidad"),(Y20-(+Y20*T21)),IF(AND(Q20="Impacto",Q21="Probabilidad"),(Y19-(+Y19*T21)),IF(Q21="Impacto",Y20,""))),"")</f>
        <v/>
      </c>
      <c r="Z21" s="97" t="str">
        <f t="shared" si="11"/>
        <v/>
      </c>
      <c r="AA21" s="98" t="str">
        <f t="shared" si="14"/>
        <v/>
      </c>
      <c r="AB21" s="99" t="str">
        <f t="shared" ref="AB21:AB22" si="16">IFERROR(IF(OR(AND(X21="Muy Baja",Z21="Leve"),AND(X21="Muy Baja",Z21="Menor"),AND(X21="Baja",Z21="Leve")),"Bajo",IF(OR(AND(X21="Muy baja",Z21="Moderado"),AND(X21="Baja",Z21="Menor"),AND(X21="Baja",Z21="Moderado"),AND(X21="Media",Z21="Leve"),AND(X21="Media",Z21="Menor"),AND(X21="Media",Z21="Moderado"),AND(X21="Alta",Z21="Leve"),AND(X21="Alta",Z21="Menor")),"Moderado",IF(OR(AND(X21="Muy Baja",Z21="Mayor"),AND(X21="Baja",Z21="Mayor"),AND(X21="Media",Z21="Mayor"),AND(X21="Alta",Z21="Moderado"),AND(X21="Alta",Z21="Mayor"),AND(X21="Muy Alta",Z21="Leve"),AND(X21="Muy Alta",Z21="Menor"),AND(X21="Muy Alta",Z21="Moderado"),AND(X21="Muy Alta",Z21="Mayor")),"Alto",IF(OR(AND(X21="Muy Baja",Z21="Catastrófico"),AND(X21="Baja",Z21="Catastrófico"),AND(X21="Media",Z21="Catastrófico"),AND(X21="Alta",Z21="Catastrófico"),AND(X21="Muy Alta",Z21="Catastrófico")),"Extremo","")))),"")</f>
        <v/>
      </c>
      <c r="AC21" s="46"/>
      <c r="AD21" s="47"/>
      <c r="AE21" s="43"/>
      <c r="AF21" s="101"/>
      <c r="AG21" s="48"/>
      <c r="AH21" s="47"/>
      <c r="AI21" s="43"/>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row>
    <row r="22" spans="1:67" x14ac:dyDescent="0.25">
      <c r="A22" s="197"/>
      <c r="B22" s="200"/>
      <c r="C22" s="200"/>
      <c r="D22" s="200"/>
      <c r="E22" s="203"/>
      <c r="F22" s="215"/>
      <c r="G22" s="206"/>
      <c r="H22" s="209"/>
      <c r="I22" s="191"/>
      <c r="J22" s="212"/>
      <c r="K22" s="209"/>
      <c r="L22" s="191"/>
      <c r="M22" s="194"/>
      <c r="N22" s="49">
        <v>6</v>
      </c>
      <c r="O22" s="141"/>
      <c r="P22" s="141"/>
      <c r="Q22" s="95" t="str">
        <f t="shared" si="15"/>
        <v/>
      </c>
      <c r="R22" s="45"/>
      <c r="S22" s="45"/>
      <c r="T22" s="96" t="str">
        <f t="shared" si="10"/>
        <v/>
      </c>
      <c r="U22" s="45"/>
      <c r="V22" s="45"/>
      <c r="W22" s="45"/>
      <c r="X22" s="97" t="str">
        <f t="shared" si="0"/>
        <v/>
      </c>
      <c r="Y22" s="98" t="str">
        <f>IFERROR(IF(AND(Q21="Probabilidad",Q22="Probabilidad"),(Y21-(+Y21*T22)),IF(AND(Q21="Impacto",Q22="Probabilidad"),(Y20-(+Y20*T22)),IF(Q22="Impacto",Y21,""))),"")</f>
        <v/>
      </c>
      <c r="Z22" s="97" t="str">
        <f t="shared" si="11"/>
        <v/>
      </c>
      <c r="AA22" s="98" t="str">
        <f t="shared" si="14"/>
        <v/>
      </c>
      <c r="AB22" s="99" t="str">
        <f t="shared" si="16"/>
        <v/>
      </c>
      <c r="AC22" s="46"/>
      <c r="AD22" s="47"/>
      <c r="AE22" s="43"/>
      <c r="AF22" s="101"/>
      <c r="AG22" s="48"/>
      <c r="AH22" s="47"/>
      <c r="AI22" s="43"/>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row>
    <row r="23" spans="1:67" ht="83.25" customHeight="1" x14ac:dyDescent="0.25">
      <c r="A23" s="195">
        <v>3</v>
      </c>
      <c r="B23" s="198" t="s">
        <v>132</v>
      </c>
      <c r="C23" s="198" t="s">
        <v>328</v>
      </c>
      <c r="D23" s="198" t="s">
        <v>271</v>
      </c>
      <c r="E23" s="201" t="s">
        <v>253</v>
      </c>
      <c r="F23" s="198" t="s">
        <v>124</v>
      </c>
      <c r="G23" s="204">
        <v>365</v>
      </c>
      <c r="H23" s="207" t="str">
        <f>IF(G23&lt;=0,"",IF(G23&lt;=2,"Muy Baja",IF(G23&lt;=24,"Baja",IF(G23&lt;=500,"Media",IF(G23&lt;=5000,"Alta","Muy Alta")))))</f>
        <v>Media</v>
      </c>
      <c r="I23" s="189">
        <f>IF(H23="","",IF(H23="Muy Baja",0.2,IF(H23="Baja",0.4,IF(H23="Media",0.6,IF(H23="Alta",0.8,IF(H23="Muy Alta",1,))))))</f>
        <v>0.6</v>
      </c>
      <c r="J23" s="210" t="s">
        <v>152</v>
      </c>
      <c r="K23" s="207" t="str">
        <f>IF(OR(J23='[1]Tabla Impacto'!$C$11,J23='[1]Tabla Impacto'!$D$11),"Leve",IF(OR(J23='[1]Tabla Impacto'!$C$12,J23='[1]Tabla Impacto'!$D$12),"Menor",IF(OR(J23='[1]Tabla Impacto'!$C$13,J23='[1]Tabla Impacto'!$D$13),"Moderado",IF(OR(J23='[1]Tabla Impacto'!$C$14,J23='[1]Tabla Impacto'!$D$14),"Mayor",IF(OR(J23='[1]Tabla Impacto'!$C$15,J23='[1]Tabla Impacto'!$D$15),"Catastrófico","")))))</f>
        <v>Mayor</v>
      </c>
      <c r="L23" s="189">
        <f>IF(K23="","",IF(K23="Leve",0.2,IF(K23="Menor",0.4,IF(K23="Moderado",0.6,IF(K23="Mayor",0.8,IF(K23="Catastrófico",1,))))))</f>
        <v>0.8</v>
      </c>
      <c r="M23" s="192" t="str">
        <f>IF(OR(AND(H23="Muy Baja",K23="Leve"),AND(H23="Muy Baja",K23="Menor"),AND(H23="Baja",K23="Leve")),"Bajo",IF(OR(AND(H23="Muy baja",K23="Moderado"),AND(H23="Baja",K23="Menor"),AND(H23="Baja",K23="Moderado"),AND(H23="Media",K23="Leve"),AND(H23="Media",K23="Menor"),AND(H23="Media",K23="Moderado"),AND(H23="Alta",K23="Leve"),AND(H23="Alta",K23="Menor")),"Moderado",IF(OR(AND(H23="Muy Baja",K23="Mayor"),AND(H23="Baja",K23="Mayor"),AND(H23="Media",K23="Mayor"),AND(H23="Alta",K23="Moderado"),AND(H23="Alta",K23="Mayor"),AND(H23="Muy Alta",K23="Leve"),AND(H23="Muy Alta",K23="Menor"),AND(H23="Muy Alta",K23="Moderado"),AND(H23="Muy Alta",K23="Mayor")),"Alto",IF(OR(AND(H23="Muy Baja",K23="Catastrófico"),AND(H23="Baja",K23="Catastrófico"),AND(H23="Media",K23="Catastrófico"),AND(H23="Alta",K23="Catastrófico"),AND(H23="Muy Alta",K23="Catastrófico")),"Extremo",""))))</f>
        <v>Alto</v>
      </c>
      <c r="N23" s="49">
        <v>1</v>
      </c>
      <c r="O23" s="141" t="s">
        <v>231</v>
      </c>
      <c r="P23" s="141" t="s">
        <v>272</v>
      </c>
      <c r="Q23" s="95" t="str">
        <f>IF(OR(R23="Preventivo",R23="Detectivo"),"Probabilidad",IF(R23="Correctivo","Impacto",""))</f>
        <v>Probabilidad</v>
      </c>
      <c r="R23" s="45" t="s">
        <v>14</v>
      </c>
      <c r="S23" s="45" t="s">
        <v>9</v>
      </c>
      <c r="T23" s="96" t="str">
        <f>IF(AND(R23="Preventivo",S23="Automático"),"50%",IF(AND(R23="Preventivo",S23="Manual"),"40%",IF(AND(R23="Detectivo",S23="Automático"),"40%",IF(AND(R23="Detectivo",S23="Manual"),"30%",IF(AND(R23="Correctivo",S23="Automático"),"35%",IF(AND(R23="Correctivo",S23="Manual"),"25%",""))))))</f>
        <v>40%</v>
      </c>
      <c r="U23" s="45" t="s">
        <v>19</v>
      </c>
      <c r="V23" s="45" t="s">
        <v>22</v>
      </c>
      <c r="W23" s="45" t="s">
        <v>117</v>
      </c>
      <c r="X23" s="97" t="str">
        <f t="shared" si="0"/>
        <v>Baja</v>
      </c>
      <c r="Y23" s="98">
        <f>IFERROR(IF(Q23="Probabilidad",(I23-(+I23*T23)),IF(Q23="Impacto",I23,"")),"")</f>
        <v>0.36</v>
      </c>
      <c r="Z23" s="97" t="str">
        <f>IFERROR(IF(AA23="","",IF(AA23&lt;=0.2,"Leve",IF(AA23&lt;=0.4,"Menor",IF(AA23&lt;=0.6,"Moderado",IF(AA23&lt;=0.8,"Mayor","Catastrófico"))))),"")</f>
        <v>Mayor</v>
      </c>
      <c r="AA23" s="98">
        <f t="shared" ref="AA23" si="17">IFERROR(IF(Q23="Impacto",(L23-(+L23*T23)),IF(Q23="Probabilidad",L23,"")),"")</f>
        <v>0.8</v>
      </c>
      <c r="AB23" s="99" t="str">
        <f>IFERROR(IF(OR(AND(X23="Muy Baja",Z23="Leve"),AND(X23="Muy Baja",Z23="Menor"),AND(X23="Baja",Z23="Leve")),"Bajo",IF(OR(AND(X23="Muy baja",Z23="Moderado"),AND(X23="Baja",Z23="Menor"),AND(X23="Baja",Z23="Moderado"),AND(X23="Media",Z23="Leve"),AND(X23="Media",Z23="Menor"),AND(X23="Media",Z23="Moderado"),AND(X23="Alta",Z23="Leve"),AND(X23="Alta",Z23="Menor")),"Moderado",IF(OR(AND(X23="Muy Baja",Z23="Mayor"),AND(X23="Baja",Z23="Mayor"),AND(X23="Media",Z23="Mayor"),AND(X23="Alta",Z23="Moderado"),AND(X23="Alta",Z23="Mayor"),AND(X23="Muy Alta",Z23="Leve"),AND(X23="Muy Alta",Z23="Menor"),AND(X23="Muy Alta",Z23="Moderado"),AND(X23="Muy Alta",Z23="Mayor")),"Alto",IF(OR(AND(X23="Muy Baja",Z23="Catastrófico"),AND(X23="Baja",Z23="Catastrófico"),AND(X23="Media",Z23="Catastrófico"),AND(X23="Alta",Z23="Catastrófico"),AND(X23="Muy Alta",Z23="Catastrófico")),"Extremo","")))),"")</f>
        <v>Alto</v>
      </c>
      <c r="AC23" s="46" t="s">
        <v>134</v>
      </c>
      <c r="AD23" s="141" t="s">
        <v>273</v>
      </c>
      <c r="AE23" s="47" t="s">
        <v>231</v>
      </c>
      <c r="AF23" s="47" t="s">
        <v>274</v>
      </c>
      <c r="AG23" s="47" t="s">
        <v>250</v>
      </c>
      <c r="AH23" s="47" t="s">
        <v>251</v>
      </c>
      <c r="AI23" s="47" t="s">
        <v>41</v>
      </c>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row>
    <row r="24" spans="1:67" ht="67.5" customHeight="1" x14ac:dyDescent="0.25">
      <c r="A24" s="196"/>
      <c r="B24" s="199"/>
      <c r="C24" s="199"/>
      <c r="D24" s="199"/>
      <c r="E24" s="202"/>
      <c r="F24" s="199"/>
      <c r="G24" s="205"/>
      <c r="H24" s="208"/>
      <c r="I24" s="190"/>
      <c r="J24" s="211"/>
      <c r="K24" s="208"/>
      <c r="L24" s="190"/>
      <c r="M24" s="193"/>
      <c r="N24" s="49">
        <v>2</v>
      </c>
      <c r="O24" s="141" t="s">
        <v>275</v>
      </c>
      <c r="P24" s="141" t="s">
        <v>276</v>
      </c>
      <c r="Q24" s="95" t="s">
        <v>4</v>
      </c>
      <c r="R24" s="45" t="s">
        <v>14</v>
      </c>
      <c r="S24" s="45" t="s">
        <v>9</v>
      </c>
      <c r="T24" s="96" t="str">
        <f t="shared" ref="T24:T28" si="18">IF(AND(R24="Preventivo",S24="Automático"),"50%",IF(AND(R24="Preventivo",S24="Manual"),"40%",IF(AND(R24="Detectivo",S24="Automático"),"40%",IF(AND(R24="Detectivo",S24="Manual"),"30%",IF(AND(R24="Correctivo",S24="Automático"),"35%",IF(AND(R24="Correctivo",S24="Manual"),"25%",""))))))</f>
        <v>40%</v>
      </c>
      <c r="U24" s="45" t="s">
        <v>19</v>
      </c>
      <c r="V24" s="45" t="s">
        <v>22</v>
      </c>
      <c r="W24" s="45" t="s">
        <v>117</v>
      </c>
      <c r="X24" s="97" t="str">
        <f t="shared" si="0"/>
        <v>Baja</v>
      </c>
      <c r="Y24" s="98">
        <f>IFERROR(IF(AND(Q23="Probabilidad",Q24="Probabilidad"),(Y23-(+Y23*T24)),IF(Q24="Probabilidad",(I23-(+I23*T24)),IF(Q24="Impacto",Y23,""))),"")</f>
        <v>0.216</v>
      </c>
      <c r="Z24" s="97" t="str">
        <f t="shared" ref="Z24:Z28" si="19">IFERROR(IF(AA24="","",IF(AA24&lt;=0.2,"Leve",IF(AA24&lt;=0.4,"Menor",IF(AA24&lt;=0.6,"Moderado",IF(AA24&lt;=0.8,"Mayor","Catastrófico"))))),"")</f>
        <v>Mayor</v>
      </c>
      <c r="AA24" s="98">
        <f t="shared" ref="AA24" si="20">IFERROR(IF(AND(Q23="Impacto",Q24="Impacto"),(AA23-(+AA23*T24)),IF(Q24="Impacto",(L23-(+L23*T24)),IF(Q24="Probabilidad",AA23,""))),"")</f>
        <v>0.8</v>
      </c>
      <c r="AB24" s="99" t="str">
        <f t="shared" ref="AB24:AB25" si="21">IFERROR(IF(OR(AND(X24="Muy Baja",Z24="Leve"),AND(X24="Muy Baja",Z24="Menor"),AND(X24="Baja",Z24="Leve")),"Bajo",IF(OR(AND(X24="Muy baja",Z24="Moderado"),AND(X24="Baja",Z24="Menor"),AND(X24="Baja",Z24="Moderado"),AND(X24="Media",Z24="Leve"),AND(X24="Media",Z24="Menor"),AND(X24="Media",Z24="Moderado"),AND(X24="Alta",Z24="Leve"),AND(X24="Alta",Z24="Menor")),"Moderado",IF(OR(AND(X24="Muy Baja",Z24="Mayor"),AND(X24="Baja",Z24="Mayor"),AND(X24="Media",Z24="Mayor"),AND(X24="Alta",Z24="Moderado"),AND(X24="Alta",Z24="Mayor"),AND(X24="Muy Alta",Z24="Leve"),AND(X24="Muy Alta",Z24="Menor"),AND(X24="Muy Alta",Z24="Moderado"),AND(X24="Muy Alta",Z24="Mayor")),"Alto",IF(OR(AND(X24="Muy Baja",Z24="Catastrófico"),AND(X24="Baja",Z24="Catastrófico"),AND(X24="Media",Z24="Catastrófico"),AND(X24="Alta",Z24="Catastrófico"),AND(X24="Muy Alta",Z24="Catastrófico")),"Extremo","")))),"")</f>
        <v>Alto</v>
      </c>
      <c r="AC24" s="46" t="s">
        <v>134</v>
      </c>
      <c r="AD24" s="141" t="s">
        <v>277</v>
      </c>
      <c r="AE24" s="47" t="s">
        <v>244</v>
      </c>
      <c r="AF24" s="47" t="s">
        <v>246</v>
      </c>
      <c r="AG24" s="47" t="s">
        <v>250</v>
      </c>
      <c r="AH24" s="47" t="s">
        <v>245</v>
      </c>
      <c r="AI24" s="47" t="s">
        <v>41</v>
      </c>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row>
    <row r="25" spans="1:67" ht="69" customHeight="1" x14ac:dyDescent="0.25">
      <c r="A25" s="196"/>
      <c r="B25" s="199"/>
      <c r="C25" s="199"/>
      <c r="D25" s="199"/>
      <c r="E25" s="202"/>
      <c r="F25" s="199"/>
      <c r="G25" s="205"/>
      <c r="H25" s="208"/>
      <c r="I25" s="190"/>
      <c r="J25" s="211"/>
      <c r="K25" s="208"/>
      <c r="L25" s="190"/>
      <c r="M25" s="193"/>
      <c r="N25" s="49">
        <v>3</v>
      </c>
      <c r="O25" s="141" t="s">
        <v>239</v>
      </c>
      <c r="P25" s="141" t="s">
        <v>278</v>
      </c>
      <c r="Q25" s="95" t="str">
        <f>IF(OR(R25="Preventivo",R25="Detectivo"),"Probabilidad",IF(R25="Correctivo","Impacto",""))</f>
        <v>Probabilidad</v>
      </c>
      <c r="R25" s="45" t="s">
        <v>14</v>
      </c>
      <c r="S25" s="45" t="s">
        <v>9</v>
      </c>
      <c r="T25" s="96" t="str">
        <f t="shared" si="18"/>
        <v>40%</v>
      </c>
      <c r="U25" s="45" t="s">
        <v>19</v>
      </c>
      <c r="V25" s="45" t="s">
        <v>22</v>
      </c>
      <c r="W25" s="45" t="s">
        <v>117</v>
      </c>
      <c r="X25" s="97" t="str">
        <f t="shared" si="0"/>
        <v>Muy Baja</v>
      </c>
      <c r="Y25" s="98">
        <f>IFERROR(IF(AND(Q24="Probabilidad",Q25="Probabilidad"),(Y24-(+Y24*T25)),IF(AND(Q24="Impacto",Q25="Probabilidad"),(Y23-(+Y23*T25)),IF(Q25="Impacto",Y24,""))),"")</f>
        <v>0.12959999999999999</v>
      </c>
      <c r="Z25" s="97" t="str">
        <f t="shared" si="19"/>
        <v>Mayor</v>
      </c>
      <c r="AA25" s="98">
        <f t="shared" ref="AA25:AA28" si="22">IFERROR(IF(AND(Q24="Impacto",Q25="Impacto"),(AA24-(+AA24*T25)),IF(AND(Q24="Probabilidad",Q25="Impacto"),(AA23-(+AA23*T25)),IF(Q25="Probabilidad",AA24,""))),"")</f>
        <v>0.8</v>
      </c>
      <c r="AB25" s="99" t="str">
        <f t="shared" si="21"/>
        <v>Alto</v>
      </c>
      <c r="AC25" s="46" t="s">
        <v>134</v>
      </c>
      <c r="AD25" s="141" t="s">
        <v>279</v>
      </c>
      <c r="AE25" s="47" t="s">
        <v>254</v>
      </c>
      <c r="AF25" s="47" t="s">
        <v>274</v>
      </c>
      <c r="AG25" s="47" t="s">
        <v>250</v>
      </c>
      <c r="AH25" s="47" t="s">
        <v>280</v>
      </c>
      <c r="AI25" s="47" t="s">
        <v>41</v>
      </c>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row>
    <row r="26" spans="1:67" ht="68.400000000000006" x14ac:dyDescent="0.25">
      <c r="A26" s="196"/>
      <c r="B26" s="199"/>
      <c r="C26" s="199"/>
      <c r="D26" s="199"/>
      <c r="E26" s="202"/>
      <c r="F26" s="199"/>
      <c r="G26" s="205"/>
      <c r="H26" s="208"/>
      <c r="I26" s="190"/>
      <c r="J26" s="211"/>
      <c r="K26" s="208"/>
      <c r="L26" s="190"/>
      <c r="M26" s="193"/>
      <c r="N26" s="49">
        <v>4</v>
      </c>
      <c r="O26" s="44" t="s">
        <v>231</v>
      </c>
      <c r="P26" s="141" t="s">
        <v>281</v>
      </c>
      <c r="Q26" s="95" t="str">
        <f t="shared" ref="Q26:Q28" si="23">IF(OR(R26="Preventivo",R26="Detectivo"),"Probabilidad",IF(R26="Correctivo","Impacto",""))</f>
        <v>Probabilidad</v>
      </c>
      <c r="R26" s="45" t="s">
        <v>14</v>
      </c>
      <c r="S26" s="45" t="s">
        <v>9</v>
      </c>
      <c r="T26" s="96" t="str">
        <f t="shared" si="18"/>
        <v>40%</v>
      </c>
      <c r="U26" s="45" t="s">
        <v>19</v>
      </c>
      <c r="V26" s="45" t="s">
        <v>22</v>
      </c>
      <c r="W26" s="45" t="s">
        <v>117</v>
      </c>
      <c r="X26" s="97" t="str">
        <f t="shared" si="0"/>
        <v>Muy Baja</v>
      </c>
      <c r="Y26" s="98">
        <f>IFERROR(IF(AND(Q25="Probabilidad",Q26="Probabilidad"),(Y25-(+Y25*T26)),IF(AND(Q25="Impacto",Q26="Probabilidad"),(Y24-(+Y24*T26)),IF(Q26="Impacto",Y25,""))),"")</f>
        <v>7.7759999999999996E-2</v>
      </c>
      <c r="Z26" s="97" t="str">
        <f t="shared" si="19"/>
        <v>Mayor</v>
      </c>
      <c r="AA26" s="98">
        <f t="shared" si="22"/>
        <v>0.8</v>
      </c>
      <c r="AB26" s="99" t="str">
        <f>IFERROR(IF(OR(AND(X26="Muy Baja",Z26="Leve"),AND(X26="Muy Baja",Z26="Menor"),AND(X26="Baja",Z26="Leve")),"Bajo",IF(OR(AND(X26="Muy baja",Z26="Moderado"),AND(X26="Baja",Z26="Menor"),AND(X26="Baja",Z26="Moderado"),AND(X26="Media",Z26="Leve"),AND(X26="Media",Z26="Menor"),AND(X26="Media",Z26="Moderado"),AND(X26="Alta",Z26="Leve"),AND(X26="Alta",Z26="Menor")),"Moderado",IF(OR(AND(X26="Muy Baja",Z26="Mayor"),AND(X26="Baja",Z26="Mayor"),AND(X26="Media",Z26="Mayor"),AND(X26="Alta",Z26="Moderado"),AND(X26="Alta",Z26="Mayor"),AND(X26="Muy Alta",Z26="Leve"),AND(X26="Muy Alta",Z26="Menor"),AND(X26="Muy Alta",Z26="Moderado"),AND(X26="Muy Alta",Z26="Mayor")),"Alto",IF(OR(AND(X26="Muy Baja",Z26="Catastrófico"),AND(X26="Baja",Z26="Catastrófico"),AND(X26="Media",Z26="Catastrófico"),AND(X26="Alta",Z26="Catastrófico"),AND(X26="Muy Alta",Z26="Catastrófico")),"Extremo","")))),"")</f>
        <v>Alto</v>
      </c>
      <c r="AC26" s="46" t="s">
        <v>134</v>
      </c>
      <c r="AD26" s="47" t="s">
        <v>282</v>
      </c>
      <c r="AE26" s="43" t="s">
        <v>231</v>
      </c>
      <c r="AF26" s="143" t="s">
        <v>246</v>
      </c>
      <c r="AG26" s="143" t="s">
        <v>250</v>
      </c>
      <c r="AH26" s="143" t="s">
        <v>283</v>
      </c>
      <c r="AI26" s="143" t="s">
        <v>41</v>
      </c>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row>
    <row r="27" spans="1:67" x14ac:dyDescent="0.25">
      <c r="A27" s="196"/>
      <c r="B27" s="199"/>
      <c r="C27" s="199"/>
      <c r="D27" s="199"/>
      <c r="E27" s="202"/>
      <c r="F27" s="199"/>
      <c r="G27" s="205"/>
      <c r="H27" s="208"/>
      <c r="I27" s="190"/>
      <c r="J27" s="211"/>
      <c r="K27" s="208"/>
      <c r="L27" s="190"/>
      <c r="M27" s="193"/>
      <c r="N27" s="49"/>
      <c r="O27" s="141"/>
      <c r="Q27" s="95"/>
      <c r="R27" s="45"/>
      <c r="S27" s="45"/>
      <c r="T27" s="96" t="str">
        <f t="shared" ref="T27" si="24">IF(AND(R27="Preventivo",S27="Automático"),"50%",IF(AND(R27="Preventivo",S27="Manual"),"40%",IF(AND(R27="Detectivo",S27="Automático"),"40%",IF(AND(R27="Detectivo",S27="Manual"),"30%",IF(AND(R27="Correctivo",S27="Automático"),"35%",IF(AND(R27="Correctivo",S27="Manual"),"25%",""))))))</f>
        <v/>
      </c>
      <c r="U27" s="45"/>
      <c r="V27" s="45"/>
      <c r="W27" s="45"/>
      <c r="X27" s="97" t="str">
        <f t="shared" si="0"/>
        <v/>
      </c>
      <c r="Y27" s="98" t="str">
        <f>IFERROR(IF(AND(Q26="Probabilidad",Q27="Probabilidad"),(Y26-(+Y26*T27)),IF(AND(Q26="Impacto",Q27="Probabilidad"),(Y25-(+Y25*T27)),IF(Q27="Impacto",Y26,""))),"")</f>
        <v/>
      </c>
      <c r="Z27" s="97" t="str">
        <f t="shared" si="19"/>
        <v/>
      </c>
      <c r="AA27" s="98" t="str">
        <f t="shared" si="22"/>
        <v/>
      </c>
      <c r="AB27" s="99" t="str">
        <f t="shared" ref="AB27:AB28" si="25">IFERROR(IF(OR(AND(X27="Muy Baja",Z27="Leve"),AND(X27="Muy Baja",Z27="Menor"),AND(X27="Baja",Z27="Leve")),"Bajo",IF(OR(AND(X27="Muy baja",Z27="Moderado"),AND(X27="Baja",Z27="Menor"),AND(X27="Baja",Z27="Moderado"),AND(X27="Media",Z27="Leve"),AND(X27="Media",Z27="Menor"),AND(X27="Media",Z27="Moderado"),AND(X27="Alta",Z27="Leve"),AND(X27="Alta",Z27="Menor")),"Moderado",IF(OR(AND(X27="Muy Baja",Z27="Mayor"),AND(X27="Baja",Z27="Mayor"),AND(X27="Media",Z27="Mayor"),AND(X27="Alta",Z27="Moderado"),AND(X27="Alta",Z27="Mayor"),AND(X27="Muy Alta",Z27="Leve"),AND(X27="Muy Alta",Z27="Menor"),AND(X27="Muy Alta",Z27="Moderado"),AND(X27="Muy Alta",Z27="Mayor")),"Alto",IF(OR(AND(X27="Muy Baja",Z27="Catastrófico"),AND(X27="Baja",Z27="Catastrófico"),AND(X27="Media",Z27="Catastrófico"),AND(X27="Alta",Z27="Catastrófico"),AND(X27="Muy Alta",Z27="Catastrófico")),"Extremo","")))),"")</f>
        <v/>
      </c>
      <c r="AC27" s="46"/>
      <c r="AE27" s="43"/>
      <c r="AF27" s="101"/>
      <c r="AG27" s="48"/>
      <c r="AH27" s="47"/>
      <c r="AI27" s="43"/>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row>
    <row r="28" spans="1:67" x14ac:dyDescent="0.25">
      <c r="A28" s="197"/>
      <c r="B28" s="200"/>
      <c r="C28" s="200"/>
      <c r="D28" s="200"/>
      <c r="E28" s="203"/>
      <c r="F28" s="200"/>
      <c r="G28" s="206"/>
      <c r="H28" s="209"/>
      <c r="I28" s="191"/>
      <c r="J28" s="212"/>
      <c r="K28" s="209"/>
      <c r="L28" s="191"/>
      <c r="M28" s="194"/>
      <c r="N28" s="49"/>
      <c r="O28" s="141"/>
      <c r="P28" s="141"/>
      <c r="Q28" s="95" t="str">
        <f t="shared" si="23"/>
        <v/>
      </c>
      <c r="R28" s="45"/>
      <c r="S28" s="45"/>
      <c r="T28" s="96" t="str">
        <f t="shared" si="18"/>
        <v/>
      </c>
      <c r="U28" s="45"/>
      <c r="V28" s="45"/>
      <c r="W28" s="45"/>
      <c r="X28" s="97" t="str">
        <f t="shared" si="0"/>
        <v/>
      </c>
      <c r="Y28" s="98" t="str">
        <f>IFERROR(IF(AND(Q27="Probabilidad",Q28="Probabilidad"),(Y27-(+Y27*T28)),IF(AND(Q27="Impacto",Q28="Probabilidad"),(Y26-(+Y26*T28)),IF(Q28="Impacto",Y27,""))),"")</f>
        <v/>
      </c>
      <c r="Z28" s="97" t="str">
        <f t="shared" si="19"/>
        <v/>
      </c>
      <c r="AA28" s="98" t="str">
        <f t="shared" si="22"/>
        <v/>
      </c>
      <c r="AB28" s="99" t="str">
        <f t="shared" si="25"/>
        <v/>
      </c>
      <c r="AC28" s="46"/>
      <c r="AD28" s="47"/>
      <c r="AE28" s="43"/>
      <c r="AF28" s="101"/>
      <c r="AG28" s="48"/>
      <c r="AH28" s="47"/>
      <c r="AI28" s="43"/>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row>
    <row r="29" spans="1:67" s="3" customFormat="1" ht="87" customHeight="1" x14ac:dyDescent="0.3">
      <c r="A29" s="195">
        <v>4</v>
      </c>
      <c r="B29" s="198" t="s">
        <v>132</v>
      </c>
      <c r="C29" s="198" t="s">
        <v>284</v>
      </c>
      <c r="D29" s="198" t="s">
        <v>285</v>
      </c>
      <c r="E29" s="201" t="s">
        <v>286</v>
      </c>
      <c r="F29" s="198" t="s">
        <v>121</v>
      </c>
      <c r="G29" s="204">
        <v>365</v>
      </c>
      <c r="H29" s="207" t="str">
        <f>IF(G29&lt;=0,"",IF(G29&lt;=2,"Muy Baja",IF(G29&lt;=24,"Baja",IF(G29&lt;=500,"Media",IF(G29&lt;=5000,"Alta","Muy Alta")))))</f>
        <v>Media</v>
      </c>
      <c r="I29" s="189">
        <f>IF(H29="","",IF(H29="Muy Baja",0.2,IF(H29="Baja",0.4,IF(H29="Media",0.6,IF(H29="Alta",0.8,IF(H29="Muy Alta",1,))))))</f>
        <v>0.6</v>
      </c>
      <c r="J29" s="210" t="s">
        <v>152</v>
      </c>
      <c r="K29" s="207" t="str">
        <f>IF(OR(J29='[1]Tabla Impacto'!$C$11,J29='[1]Tabla Impacto'!$D$11),"Leve",IF(OR(J29='[1]Tabla Impacto'!$C$12,J29='[1]Tabla Impacto'!$D$12),"Menor",IF(OR(J29='[1]Tabla Impacto'!$C$13,J29='[1]Tabla Impacto'!$D$13),"Moderado",IF(OR(J29='[1]Tabla Impacto'!$C$14,J29='[1]Tabla Impacto'!$D$14),"Mayor",IF(OR(J29='[1]Tabla Impacto'!$C$15,J29='[1]Tabla Impacto'!$D$15),"Catastrófico","")))))</f>
        <v>Mayor</v>
      </c>
      <c r="L29" s="189">
        <v>0.8</v>
      </c>
      <c r="M29" s="192" t="str">
        <f>IF(OR(AND(H29="Muy Baja",K29="Leve"),AND(H29="Muy Baja",K29="Menor"),AND(H29="Baja",K29="Leve")),"Bajo",IF(OR(AND(H29="Muy baja",K29="Moderado"),AND(H29="Baja",K29="Menor"),AND(H29="Baja",K29="Moderado"),AND(H29="Media",K29="Leve"),AND(H29="Media",K29="Menor"),AND(H29="Media",K29="Moderado"),AND(H29="Alta",K29="Leve"),AND(H29="Alta",K29="Menor")),"Moderado",IF(OR(AND(H29="Muy Baja",K29="Mayor"),AND(H29="Baja",K29="Mayor"),AND(H29="Media",K29="Mayor"),AND(H29="Alta",K29="Moderado"),AND(H29="Alta",K29="Mayor"),AND(H29="Muy Alta",K29="Leve"),AND(H29="Muy Alta",K29="Menor"),AND(H29="Muy Alta",K29="Moderado"),AND(H29="Muy Alta",K29="Mayor")),"Alto",IF(OR(AND(H29="Muy Baja",K29="Catastrófico"),AND(H29="Baja",K29="Catastrófico"),AND(H29="Media",K29="Catastrófico"),AND(H29="Alta",K29="Catastrófico"),AND(H29="Muy Alta",K29="Catastrófico")),"Extremo",""))))</f>
        <v>Alto</v>
      </c>
      <c r="N29" s="49">
        <v>1</v>
      </c>
      <c r="O29" s="141" t="s">
        <v>239</v>
      </c>
      <c r="P29" s="141" t="s">
        <v>292</v>
      </c>
      <c r="Q29" s="95" t="s">
        <v>4</v>
      </c>
      <c r="R29" s="45" t="s">
        <v>14</v>
      </c>
      <c r="S29" s="45" t="s">
        <v>9</v>
      </c>
      <c r="T29" s="96" t="str">
        <f>IF(AND(R29="Preventivo",S29="Automático"),"50%",IF(AND(R29="Preventivo",S29="Manual"),"40%",IF(AND(R29="Detectivo",S29="Automático"),"40%",IF(AND(R29="Detectivo",S29="Manual"),"30%",IF(AND(R29="Correctivo",S29="Automático"),"35%",IF(AND(R29="Correctivo",S29="Manual"),"25%",""))))))</f>
        <v>40%</v>
      </c>
      <c r="U29" s="45" t="s">
        <v>19</v>
      </c>
      <c r="V29" s="45" t="s">
        <v>22</v>
      </c>
      <c r="W29" s="45" t="s">
        <v>117</v>
      </c>
      <c r="X29" s="97" t="str">
        <f>IFERROR(IF(Y29="","",IF(Y29&lt;=0.2,"Muy Baja",IF(Y29&lt;=0.4,"Baja",IF(Y29&lt;=0.6,"Media",IF(Y29&lt;=0.8,"Alta","Muy Alta"))))),"")</f>
        <v>Baja</v>
      </c>
      <c r="Y29" s="98">
        <f>IFERROR(IF(Q29="Probabilidad",(I29-(+I29*T29)),IF(Q29="Impacto",I29,"")),"")</f>
        <v>0.36</v>
      </c>
      <c r="Z29" s="97" t="str">
        <f>IFERROR(IF(AA29="","",IF(AA29&lt;=0.2,"Leve",IF(AA29&lt;=0.4,"Menor",IF(AA29&lt;=0.6,"Moderado",IF(AA29&lt;=0.8,"Mayor","Catastrófico"))))),"")</f>
        <v>Mayor</v>
      </c>
      <c r="AA29" s="98">
        <f>IFERROR(IF(Q29="Impacto",(L29-(+L29*T29)),IF(Q29="Probabilidad",L29,"")),"")</f>
        <v>0.8</v>
      </c>
      <c r="AB29" s="99" t="str">
        <f>IFERROR(IF(OR(AND(X29="Muy Baja",Z29="Leve"),AND(X29="Muy Baja",Z29="Menor"),AND(X29="Baja",Z29="Leve")),"Bajo",IF(OR(AND(X29="Muy baja",Z29="Moderado"),AND(X29="Baja",Z29="Menor"),AND(X29="Baja",Z29="Moderado"),AND(X29="Media",Z29="Leve"),AND(X29="Media",Z29="Menor"),AND(X29="Media",Z29="Moderado"),AND(X29="Alta",Z29="Leve"),AND(X29="Alta",Z29="Menor")),"Moderado",IF(OR(AND(X29="Muy Baja",Z29="Mayor"),AND(X29="Baja",Z29="Mayor"),AND(X29="Media",Z29="Mayor"),AND(X29="Alta",Z29="Moderado"),AND(X29="Alta",Z29="Mayor"),AND(X29="Muy Alta",Z29="Leve"),AND(X29="Muy Alta",Z29="Menor"),AND(X29="Muy Alta",Z29="Moderado"),AND(X29="Muy Alta",Z29="Mayor")),"Alto",IF(OR(AND(X29="Muy Baja",Z29="Catastrófico"),AND(X29="Baja",Z29="Catastrófico"),AND(X29="Media",Z29="Catastrófico"),AND(X29="Alta",Z29="Catastrófico"),AND(X29="Muy Alta",Z29="Catastrófico")),"Extremo","")))),"")</f>
        <v>Alto</v>
      </c>
      <c r="AC29" s="46" t="s">
        <v>134</v>
      </c>
      <c r="AD29" s="141" t="s">
        <v>287</v>
      </c>
      <c r="AE29" s="47" t="s">
        <v>244</v>
      </c>
      <c r="AF29" s="47" t="s">
        <v>246</v>
      </c>
      <c r="AG29" s="47" t="s">
        <v>250</v>
      </c>
      <c r="AH29" s="47" t="s">
        <v>245</v>
      </c>
      <c r="AI29" s="47" t="s">
        <v>41</v>
      </c>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row>
    <row r="30" spans="1:67" ht="48.75" customHeight="1" x14ac:dyDescent="0.25">
      <c r="A30" s="196"/>
      <c r="B30" s="199"/>
      <c r="C30" s="199"/>
      <c r="D30" s="199"/>
      <c r="E30" s="202"/>
      <c r="F30" s="199"/>
      <c r="G30" s="205"/>
      <c r="H30" s="208"/>
      <c r="I30" s="190"/>
      <c r="J30" s="211"/>
      <c r="K30" s="208"/>
      <c r="L30" s="190"/>
      <c r="M30" s="193"/>
      <c r="N30" s="49">
        <v>2</v>
      </c>
      <c r="O30" s="141" t="s">
        <v>239</v>
      </c>
      <c r="P30" s="141" t="s">
        <v>293</v>
      </c>
      <c r="Q30" s="95" t="str">
        <f>IF(OR(R30="Preventivo",R30="Detectivo"),"Probabilidad",IF(R30="Correctivo","Impacto",""))</f>
        <v>Probabilidad</v>
      </c>
      <c r="R30" s="45" t="s">
        <v>14</v>
      </c>
      <c r="S30" s="45" t="s">
        <v>9</v>
      </c>
      <c r="T30" s="96" t="str">
        <f t="shared" ref="T30:T34" si="26">IF(AND(R30="Preventivo",S30="Automático"),"50%",IF(AND(R30="Preventivo",S30="Manual"),"40%",IF(AND(R30="Detectivo",S30="Automático"),"40%",IF(AND(R30="Detectivo",S30="Manual"),"30%",IF(AND(R30="Correctivo",S30="Automático"),"35%",IF(AND(R30="Correctivo",S30="Manual"),"25%",""))))))</f>
        <v>40%</v>
      </c>
      <c r="U30" s="45" t="s">
        <v>19</v>
      </c>
      <c r="V30" s="45" t="s">
        <v>22</v>
      </c>
      <c r="W30" s="45" t="s">
        <v>117</v>
      </c>
      <c r="X30" s="97" t="str">
        <f t="shared" ref="X30:X40" si="27">IFERROR(IF(Y30="","",IF(Y30&lt;=0.2,"Muy Baja",IF(Y30&lt;=0.4,"Baja",IF(Y30&lt;=0.6,"Media",IF(Y30&lt;=0.8,"Alta","Muy Alta"))))),"")</f>
        <v>Baja</v>
      </c>
      <c r="Y30" s="98">
        <f>IFERROR(IF(AND(Q29="Probabilidad",Q30="Probabilidad"),(Y29-(+Y29*T30)),IF(Q30="Probabilidad",(I29-(+I29*T30)),IF(Q30="Impacto",Y29,""))),"")</f>
        <v>0.216</v>
      </c>
      <c r="Z30" s="97" t="str">
        <f t="shared" ref="Z30:Z40" si="28">IFERROR(IF(AA30="","",IF(AA30&lt;=0.2,"Leve",IF(AA30&lt;=0.4,"Menor",IF(AA30&lt;=0.6,"Moderado",IF(AA30&lt;=0.8,"Mayor","Catastrófico"))))),"")</f>
        <v>Mayor</v>
      </c>
      <c r="AA30" s="98">
        <f>IFERROR(IF(AND(Q29="Impacto",Q30="Impacto"),(AA29-(+AA29*T30)),IF(Q30="Impacto",(L29-(+L29*T30)),IF(Q30="Probabilidad",AA29,""))),"")</f>
        <v>0.8</v>
      </c>
      <c r="AB30" s="99" t="str">
        <f t="shared" ref="AB30:AB34" si="29">IFERROR(IF(OR(AND(X30="Muy Baja",Z30="Leve"),AND(X30="Muy Baja",Z30="Menor"),AND(X30="Baja",Z30="Leve")),"Bajo",IF(OR(AND(X30="Muy baja",Z30="Moderado"),AND(X30="Baja",Z30="Menor"),AND(X30="Baja",Z30="Moderado"),AND(X30="Media",Z30="Leve"),AND(X30="Media",Z30="Menor"),AND(X30="Media",Z30="Moderado"),AND(X30="Alta",Z30="Leve"),AND(X30="Alta",Z30="Menor")),"Moderado",IF(OR(AND(X30="Muy Baja",Z30="Mayor"),AND(X30="Baja",Z30="Mayor"),AND(X30="Media",Z30="Mayor"),AND(X30="Alta",Z30="Moderado"),AND(X30="Alta",Z30="Mayor"),AND(X30="Muy Alta",Z30="Leve"),AND(X30="Muy Alta",Z30="Menor"),AND(X30="Muy Alta",Z30="Moderado"),AND(X30="Muy Alta",Z30="Mayor")),"Alto",IF(OR(AND(X30="Muy Baja",Z30="Catastrófico"),AND(X30="Baja",Z30="Catastrófico"),AND(X30="Media",Z30="Catastrófico"),AND(X30="Alta",Z30="Catastrófico"),AND(X30="Muy Alta",Z30="Catastrófico")),"Extremo","")))),"")</f>
        <v>Alto</v>
      </c>
      <c r="AC30" s="46" t="s">
        <v>134</v>
      </c>
      <c r="AD30" s="141" t="s">
        <v>291</v>
      </c>
      <c r="AE30" s="47" t="s">
        <v>244</v>
      </c>
      <c r="AF30" s="47" t="s">
        <v>246</v>
      </c>
      <c r="AG30" s="47" t="s">
        <v>250</v>
      </c>
      <c r="AH30" s="47" t="s">
        <v>245</v>
      </c>
      <c r="AI30" s="47" t="s">
        <v>41</v>
      </c>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row>
    <row r="31" spans="1:67" ht="59.25" customHeight="1" x14ac:dyDescent="0.25">
      <c r="A31" s="196"/>
      <c r="B31" s="199"/>
      <c r="C31" s="199"/>
      <c r="D31" s="199"/>
      <c r="E31" s="202"/>
      <c r="F31" s="199"/>
      <c r="G31" s="205"/>
      <c r="H31" s="208"/>
      <c r="I31" s="190"/>
      <c r="J31" s="211"/>
      <c r="K31" s="208"/>
      <c r="L31" s="190"/>
      <c r="M31" s="193"/>
      <c r="N31" s="49">
        <v>3</v>
      </c>
      <c r="O31" s="141" t="s">
        <v>239</v>
      </c>
      <c r="P31" s="141" t="s">
        <v>294</v>
      </c>
      <c r="Q31" s="95" t="s">
        <v>4</v>
      </c>
      <c r="R31" s="45" t="s">
        <v>14</v>
      </c>
      <c r="S31" s="45" t="s">
        <v>9</v>
      </c>
      <c r="T31" s="96" t="str">
        <f t="shared" si="26"/>
        <v>40%</v>
      </c>
      <c r="U31" s="45" t="s">
        <v>19</v>
      </c>
      <c r="V31" s="45" t="s">
        <v>22</v>
      </c>
      <c r="W31" s="45" t="s">
        <v>117</v>
      </c>
      <c r="X31" s="97" t="str">
        <f t="shared" si="27"/>
        <v>Muy Baja</v>
      </c>
      <c r="Y31" s="98">
        <f>IFERROR(IF(AND(Q30="Probabilidad",Q31="Probabilidad"),(Y30-(+Y30*T31)),IF(AND(Q30="Impacto",Q31="Probabilidad"),(Y29-(+Y29*T31)),IF(Q31="Impacto",Y30,""))),"")</f>
        <v>0.12959999999999999</v>
      </c>
      <c r="Z31" s="97" t="str">
        <f t="shared" si="28"/>
        <v>Mayor</v>
      </c>
      <c r="AA31" s="98">
        <f>IFERROR(IF(AND(Q30="Impacto",Q31="Impacto"),(AA30-(+AA30*T31)),IF(AND(Q30="Probabilidad",Q31="Impacto"),(AA29-(+AA29*T31)),IF(Q31="Probabilidad",AA30,""))),"")</f>
        <v>0.8</v>
      </c>
      <c r="AB31" s="99" t="str">
        <f t="shared" si="29"/>
        <v>Alto</v>
      </c>
      <c r="AC31" s="46" t="s">
        <v>134</v>
      </c>
      <c r="AD31" s="141" t="s">
        <v>290</v>
      </c>
      <c r="AE31" s="47" t="s">
        <v>244</v>
      </c>
      <c r="AF31" s="47" t="s">
        <v>246</v>
      </c>
      <c r="AG31" s="47" t="s">
        <v>250</v>
      </c>
      <c r="AH31" s="47" t="s">
        <v>245</v>
      </c>
      <c r="AI31" s="47" t="s">
        <v>41</v>
      </c>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row>
    <row r="32" spans="1:67" ht="29.25" customHeight="1" x14ac:dyDescent="0.25">
      <c r="A32" s="196"/>
      <c r="B32" s="199"/>
      <c r="C32" s="199"/>
      <c r="D32" s="199"/>
      <c r="E32" s="202"/>
      <c r="F32" s="199"/>
      <c r="G32" s="205"/>
      <c r="H32" s="208"/>
      <c r="I32" s="190"/>
      <c r="J32" s="211"/>
      <c r="K32" s="208"/>
      <c r="L32" s="190"/>
      <c r="M32" s="193"/>
      <c r="N32" s="49">
        <v>4</v>
      </c>
      <c r="O32" s="141" t="s">
        <v>239</v>
      </c>
      <c r="P32" s="141" t="s">
        <v>288</v>
      </c>
      <c r="Q32" s="95" t="s">
        <v>4</v>
      </c>
      <c r="R32" s="45" t="s">
        <v>14</v>
      </c>
      <c r="S32" s="45" t="s">
        <v>9</v>
      </c>
      <c r="T32" s="96" t="str">
        <f t="shared" si="26"/>
        <v>40%</v>
      </c>
      <c r="U32" s="45" t="s">
        <v>19</v>
      </c>
      <c r="V32" s="45" t="s">
        <v>22</v>
      </c>
      <c r="W32" s="45" t="s">
        <v>117</v>
      </c>
      <c r="X32" s="97" t="str">
        <f t="shared" si="27"/>
        <v>Muy Baja</v>
      </c>
      <c r="Y32" s="98">
        <f>IFERROR(IF(AND(Q31="Probabilidad",Q32="Probabilidad"),(Y31-(+Y31*T32)),IF(AND(Q31="Impacto",Q32="Probabilidad"),(Y30-(+Y30*T32)),IF(Q32="Impacto",Y31,""))),"")</f>
        <v>7.7759999999999996E-2</v>
      </c>
      <c r="Z32" s="97" t="str">
        <f t="shared" si="28"/>
        <v>Mayor</v>
      </c>
      <c r="AA32" s="98">
        <f>IFERROR(IF(AND(Q31="Impacto",Q32="Impacto"),(AA31-(+AA31*T32)),IF(AND(Q31="Probabilidad",Q32="Impacto"),(AA30-(+AA30*T32)),IF(Q32="Probabilidad",AA31,""))),"")</f>
        <v>0.8</v>
      </c>
      <c r="AB32" s="99" t="str">
        <f>IFERROR(IF(OR(AND(X32="Muy Baja",Z32="Leve"),AND(X32="Muy Baja",Z32="Menor"),AND(X32="Baja",Z32="Leve")),"Bajo",IF(OR(AND(X32="Muy baja",Z32="Moderado"),AND(X32="Baja",Z32="Menor"),AND(X32="Baja",Z32="Moderado"),AND(X32="Media",Z32="Leve"),AND(X32="Media",Z32="Menor"),AND(X32="Media",Z32="Moderado"),AND(X32="Alta",Z32="Leve"),AND(X32="Alta",Z32="Menor")),"Moderado",IF(OR(AND(X32="Muy Baja",Z32="Mayor"),AND(X32="Baja",Z32="Mayor"),AND(X32="Media",Z32="Mayor"),AND(X32="Alta",Z32="Moderado"),AND(X32="Alta",Z32="Mayor"),AND(X32="Muy Alta",Z32="Leve"),AND(X32="Muy Alta",Z32="Menor"),AND(X32="Muy Alta",Z32="Moderado"),AND(X32="Muy Alta",Z32="Mayor")),"Alto",IF(OR(AND(X32="Muy Baja",Z32="Catastrófico"),AND(X32="Baja",Z32="Catastrófico"),AND(X32="Media",Z32="Catastrófico"),AND(X32="Alta",Z32="Catastrófico"),AND(X32="Muy Alta",Z32="Catastrófico")),"Extremo","")))),"")</f>
        <v>Alto</v>
      </c>
      <c r="AC32" s="46" t="s">
        <v>134</v>
      </c>
      <c r="AD32" s="141" t="s">
        <v>289</v>
      </c>
      <c r="AE32" s="47" t="s">
        <v>244</v>
      </c>
      <c r="AF32" s="47" t="s">
        <v>246</v>
      </c>
      <c r="AG32" s="47" t="s">
        <v>250</v>
      </c>
      <c r="AH32" s="47" t="s">
        <v>257</v>
      </c>
      <c r="AI32" s="47" t="s">
        <v>41</v>
      </c>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row>
    <row r="33" spans="1:67" ht="45" customHeight="1" x14ac:dyDescent="0.25">
      <c r="A33" s="196"/>
      <c r="B33" s="199"/>
      <c r="C33" s="199"/>
      <c r="D33" s="199"/>
      <c r="E33" s="202"/>
      <c r="F33" s="199"/>
      <c r="G33" s="205"/>
      <c r="H33" s="208"/>
      <c r="I33" s="190"/>
      <c r="J33" s="211"/>
      <c r="K33" s="208"/>
      <c r="L33" s="190"/>
      <c r="M33" s="193"/>
      <c r="N33" s="49"/>
      <c r="O33" s="141"/>
      <c r="P33" s="141"/>
      <c r="Q33" s="95"/>
      <c r="R33" s="45"/>
      <c r="S33" s="45"/>
      <c r="T33" s="96" t="str">
        <f t="shared" si="26"/>
        <v/>
      </c>
      <c r="U33" s="45"/>
      <c r="V33" s="45"/>
      <c r="W33" s="45"/>
      <c r="X33" s="97" t="str">
        <f t="shared" si="27"/>
        <v/>
      </c>
      <c r="Y33" s="98" t="str">
        <f>IFERROR(IF(AND(Q32="Probabilidad",Q33="Probabilidad"),(Y32-(+Y32*T33)),IF(AND(Q32="Impacto",Q33="Probabilidad"),(Y31-(+Y31*T33)),IF(Q33="Impacto",Y32,""))),"")</f>
        <v/>
      </c>
      <c r="Z33" s="97" t="str">
        <f t="shared" si="28"/>
        <v/>
      </c>
      <c r="AA33" s="98" t="str">
        <f>IFERROR(IF(AND(Q32="Impacto",Q33="Impacto"),(AA32-(+AA32*T33)),IF(AND(Q32="Probabilidad",Q33="Impacto"),(AA31-(+AA31*T33)),IF(Q33="Probabilidad",AA32,""))),"")</f>
        <v/>
      </c>
      <c r="AB33" s="99" t="str">
        <f t="shared" si="29"/>
        <v/>
      </c>
      <c r="AC33" s="46"/>
      <c r="AD33" s="47"/>
      <c r="AE33" s="43"/>
      <c r="AF33" s="101"/>
      <c r="AG33" s="48"/>
      <c r="AH33" s="47"/>
      <c r="AI33" s="43"/>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row>
    <row r="34" spans="1:67" ht="48.75" customHeight="1" x14ac:dyDescent="0.25">
      <c r="A34" s="197"/>
      <c r="B34" s="200"/>
      <c r="C34" s="200"/>
      <c r="D34" s="200"/>
      <c r="E34" s="203"/>
      <c r="F34" s="200"/>
      <c r="G34" s="206"/>
      <c r="H34" s="209"/>
      <c r="I34" s="191"/>
      <c r="J34" s="212"/>
      <c r="K34" s="209"/>
      <c r="L34" s="191"/>
      <c r="M34" s="194"/>
      <c r="N34" s="49"/>
      <c r="O34" s="141"/>
      <c r="P34" s="141"/>
      <c r="Q34" s="95" t="str">
        <f t="shared" ref="Q33:Q34" si="30">IF(OR(R34="Preventivo",R34="Detectivo"),"Probabilidad",IF(R34="Correctivo","Impacto",""))</f>
        <v/>
      </c>
      <c r="R34" s="45"/>
      <c r="S34" s="45"/>
      <c r="T34" s="96" t="str">
        <f t="shared" si="26"/>
        <v/>
      </c>
      <c r="U34" s="45"/>
      <c r="V34" s="45"/>
      <c r="W34" s="45"/>
      <c r="X34" s="97" t="str">
        <f t="shared" si="27"/>
        <v/>
      </c>
      <c r="Y34" s="98" t="str">
        <f>IFERROR(IF(AND(Q33="Probabilidad",Q34="Probabilidad"),(Y33-(+Y33*T34)),IF(AND(Q33="Impacto",Q34="Probabilidad"),(Y32-(+Y32*T34)),IF(Q34="Impacto",Y33,""))),"")</f>
        <v/>
      </c>
      <c r="Z34" s="97" t="str">
        <f t="shared" si="28"/>
        <v/>
      </c>
      <c r="AA34" s="98" t="str">
        <f>IFERROR(IF(AND(Q33="Impacto",Q34="Impacto"),(AA33-(+AA33*T34)),IF(AND(Q33="Probabilidad",Q34="Impacto"),(AA32-(+AA32*T34)),IF(Q34="Probabilidad",AA33,""))),"")</f>
        <v/>
      </c>
      <c r="AB34" s="99" t="str">
        <f t="shared" si="29"/>
        <v/>
      </c>
      <c r="AC34" s="46"/>
      <c r="AD34" s="47"/>
      <c r="AE34" s="43"/>
      <c r="AF34" s="101"/>
      <c r="AG34" s="48"/>
      <c r="AH34" s="47"/>
      <c r="AI34" s="43"/>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row>
    <row r="35" spans="1:67" ht="87" customHeight="1" x14ac:dyDescent="0.25">
      <c r="A35" s="195">
        <v>5</v>
      </c>
      <c r="B35" s="198" t="s">
        <v>132</v>
      </c>
      <c r="C35" s="198" t="s">
        <v>295</v>
      </c>
      <c r="D35" s="198" t="s">
        <v>296</v>
      </c>
      <c r="E35" s="201" t="s">
        <v>323</v>
      </c>
      <c r="F35" s="198" t="s">
        <v>121</v>
      </c>
      <c r="G35" s="204">
        <v>365</v>
      </c>
      <c r="H35" s="207" t="str">
        <f>IF(G35&lt;=0,"",IF(G35&lt;=2,"Muy Baja",IF(G35&lt;=24,"Baja",IF(G35&lt;=500,"Media",IF(G35&lt;=5000,"Alta","Muy Alta")))))</f>
        <v>Media</v>
      </c>
      <c r="I35" s="189">
        <f>IF(H35="","",IF(H35="Muy Baja",0.2,IF(H35="Baja",0.4,IF(H35="Media",0.6,IF(H35="Alta",0.8,IF(H35="Muy Alta",1,))))))</f>
        <v>0.6</v>
      </c>
      <c r="J35" s="210" t="s">
        <v>152</v>
      </c>
      <c r="K35" s="207" t="str">
        <f>IF(OR(J35='[1]Tabla Impacto'!$C$11,J35='[1]Tabla Impacto'!$D$11),"Leve",IF(OR(J35='[1]Tabla Impacto'!$C$12,J35='[1]Tabla Impacto'!$D$12),"Menor",IF(OR(J35='[1]Tabla Impacto'!$C$13,J35='[1]Tabla Impacto'!$D$13),"Moderado",IF(OR(J35='[1]Tabla Impacto'!$C$14,J35='[1]Tabla Impacto'!$D$14),"Mayor",IF(OR(J35='[1]Tabla Impacto'!$C$15,J35='[1]Tabla Impacto'!$D$15),"Catastrófico","")))))</f>
        <v>Mayor</v>
      </c>
      <c r="L35" s="189">
        <f>IF(K35="","",IF(K35="Leve",0.2,IF(K35="Menor",0.4,IF(K35="Moderado",0.6,IF(K35="Mayor",0.8,IF(K35="Catastrófico",1,))))))</f>
        <v>0.8</v>
      </c>
      <c r="M35" s="192" t="str">
        <f>IF(OR(AND(H35="Muy Baja",K35="Leve"),AND(H35="Muy Baja",K35="Menor"),AND(H35="Baja",K35="Leve")),"Bajo",IF(OR(AND(H35="Muy baja",K35="Moderado"),AND(H35="Baja",K35="Menor"),AND(H35="Baja",K35="Moderado"),AND(H35="Media",K35="Leve"),AND(H35="Media",K35="Menor"),AND(H35="Media",K35="Moderado"),AND(H35="Alta",K35="Leve"),AND(H35="Alta",K35="Menor")),"Moderado",IF(OR(AND(H35="Muy Baja",K35="Mayor"),AND(H35="Baja",K35="Mayor"),AND(H35="Media",K35="Mayor"),AND(H35="Alta",K35="Moderado"),AND(H35="Alta",K35="Mayor"),AND(H35="Muy Alta",K35="Leve"),AND(H35="Muy Alta",K35="Menor"),AND(H35="Muy Alta",K35="Moderado"),AND(H35="Muy Alta",K35="Mayor")),"Alto",IF(OR(AND(H35="Muy Baja",K35="Catastrófico"),AND(H35="Baja",K35="Catastrófico"),AND(H35="Media",K35="Catastrófico"),AND(H35="Alta",K35="Catastrófico"),AND(H35="Muy Alta",K35="Catastrófico")),"Extremo",""))))</f>
        <v>Alto</v>
      </c>
      <c r="N35" s="49">
        <v>1</v>
      </c>
      <c r="O35" s="145" t="s">
        <v>239</v>
      </c>
      <c r="P35" s="141" t="s">
        <v>258</v>
      </c>
      <c r="Q35" s="95" t="str">
        <f>IF(OR(R35="Preventivo",R35="Detectivo"),"Probabilidad",IF(R35="Correctivo","Impacto",""))</f>
        <v>Probabilidad</v>
      </c>
      <c r="R35" s="45" t="s">
        <v>14</v>
      </c>
      <c r="S35" s="45" t="s">
        <v>9</v>
      </c>
      <c r="T35" s="96" t="str">
        <f>IF(AND(R35="Preventivo",S35="Automático"),"50%",IF(AND(R35="Preventivo",S35="Manual"),"40%",IF(AND(R35="Detectivo",S35="Automático"),"40%",IF(AND(R35="Detectivo",S35="Manual"),"30%",IF(AND(R35="Correctivo",S35="Automático"),"35%",IF(AND(R35="Correctivo",S35="Manual"),"25%",""))))))</f>
        <v>40%</v>
      </c>
      <c r="U35" s="45" t="s">
        <v>19</v>
      </c>
      <c r="V35" s="45" t="s">
        <v>22</v>
      </c>
      <c r="W35" s="45" t="s">
        <v>117</v>
      </c>
      <c r="X35" s="97" t="str">
        <f t="shared" si="27"/>
        <v>Baja</v>
      </c>
      <c r="Y35" s="98">
        <f>IFERROR(IF(Q35="Probabilidad",(I35-(+I35*T35)),IF(Q35="Impacto",I35,"")),"")</f>
        <v>0.36</v>
      </c>
      <c r="Z35" s="97" t="str">
        <f>IFERROR(IF(AA35="","",IF(AA35&lt;=0.2,"Leve",IF(AA35&lt;=0.4,"Menor",IF(AA35&lt;=0.6,"Moderado",IF(AA35&lt;=0.8,"Mayor","Catastrófico"))))),"")</f>
        <v>Mayor</v>
      </c>
      <c r="AA35" s="98">
        <f t="shared" ref="AA35" si="31">IFERROR(IF(Q35="Impacto",(L35-(+L35*T35)),IF(Q35="Probabilidad",L35,"")),"")</f>
        <v>0.8</v>
      </c>
      <c r="AB35" s="99" t="str">
        <f>IFERROR(IF(OR(AND(X35="Muy Baja",Z35="Leve"),AND(X35="Muy Baja",Z35="Menor"),AND(X35="Baja",Z35="Leve")),"Bajo",IF(OR(AND(X35="Muy baja",Z35="Moderado"),AND(X35="Baja",Z35="Menor"),AND(X35="Baja",Z35="Moderado"),AND(X35="Media",Z35="Leve"),AND(X35="Media",Z35="Menor"),AND(X35="Media",Z35="Moderado"),AND(X35="Alta",Z35="Leve"),AND(X35="Alta",Z35="Menor")),"Moderado",IF(OR(AND(X35="Muy Baja",Z35="Mayor"),AND(X35="Baja",Z35="Mayor"),AND(X35="Media",Z35="Mayor"),AND(X35="Alta",Z35="Moderado"),AND(X35="Alta",Z35="Mayor"),AND(X35="Muy Alta",Z35="Leve"),AND(X35="Muy Alta",Z35="Menor"),AND(X35="Muy Alta",Z35="Moderado"),AND(X35="Muy Alta",Z35="Mayor")),"Alto",IF(OR(AND(X35="Muy Baja",Z35="Catastrófico"),AND(X35="Baja",Z35="Catastrófico"),AND(X35="Media",Z35="Catastrófico"),AND(X35="Alta",Z35="Catastrófico"),AND(X35="Muy Alta",Z35="Catastrófico")),"Extremo","")))),"")</f>
        <v>Alto</v>
      </c>
      <c r="AC35" s="46" t="s">
        <v>134</v>
      </c>
      <c r="AD35" s="141" t="s">
        <v>299</v>
      </c>
      <c r="AE35" s="47" t="s">
        <v>244</v>
      </c>
      <c r="AF35" s="47" t="s">
        <v>246</v>
      </c>
      <c r="AG35" s="47" t="s">
        <v>250</v>
      </c>
      <c r="AH35" s="47" t="s">
        <v>245</v>
      </c>
      <c r="AI35" s="47" t="s">
        <v>41</v>
      </c>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row>
    <row r="36" spans="1:67" ht="80.25" customHeight="1" x14ac:dyDescent="0.25">
      <c r="A36" s="196"/>
      <c r="B36" s="199"/>
      <c r="C36" s="199"/>
      <c r="D36" s="199"/>
      <c r="E36" s="202"/>
      <c r="F36" s="199"/>
      <c r="G36" s="205"/>
      <c r="H36" s="208"/>
      <c r="I36" s="190"/>
      <c r="J36" s="211"/>
      <c r="K36" s="208"/>
      <c r="L36" s="190"/>
      <c r="M36" s="193"/>
      <c r="N36" s="49">
        <v>2</v>
      </c>
      <c r="O36" s="44" t="s">
        <v>239</v>
      </c>
      <c r="P36" s="141" t="s">
        <v>297</v>
      </c>
      <c r="Q36" s="95" t="str">
        <f>IF(OR(R36="Preventivo",R36="Detectivo"),"Probabilidad",IF(R36="Correctivo","Impacto",""))</f>
        <v>Probabilidad</v>
      </c>
      <c r="R36" s="45" t="s">
        <v>14</v>
      </c>
      <c r="S36" s="45" t="s">
        <v>9</v>
      </c>
      <c r="T36" s="96" t="str">
        <f t="shared" ref="T36:T40" si="32">IF(AND(R36="Preventivo",S36="Automático"),"50%",IF(AND(R36="Preventivo",S36="Manual"),"40%",IF(AND(R36="Detectivo",S36="Automático"),"40%",IF(AND(R36="Detectivo",S36="Manual"),"30%",IF(AND(R36="Correctivo",S36="Automático"),"35%",IF(AND(R36="Correctivo",S36="Manual"),"25%",""))))))</f>
        <v>40%</v>
      </c>
      <c r="U36" s="45" t="s">
        <v>19</v>
      </c>
      <c r="V36" s="45" t="s">
        <v>22</v>
      </c>
      <c r="W36" s="45" t="s">
        <v>117</v>
      </c>
      <c r="X36" s="97" t="str">
        <f t="shared" si="27"/>
        <v>Baja</v>
      </c>
      <c r="Y36" s="98">
        <f>IFERROR(IF(AND(Q35="Probabilidad",Q36="Probabilidad"),(Y35-(+Y35*T36)),IF(Q36="Probabilidad",(I35-(+I35*T36)),IF(Q36="Impacto",Y35,""))),"")</f>
        <v>0.216</v>
      </c>
      <c r="Z36" s="97" t="str">
        <f t="shared" si="28"/>
        <v>Mayor</v>
      </c>
      <c r="AA36" s="98">
        <f t="shared" ref="AA36" si="33">IFERROR(IF(AND(Q35="Impacto",Q36="Impacto"),(AA35-(+AA35*T36)),IF(Q36="Impacto",(L35-(+L35*T36)),IF(Q36="Probabilidad",AA35,""))),"")</f>
        <v>0.8</v>
      </c>
      <c r="AB36" s="99" t="str">
        <f t="shared" ref="AB36:AB37" si="34">IFERROR(IF(OR(AND(X36="Muy Baja",Z36="Leve"),AND(X36="Muy Baja",Z36="Menor"),AND(X36="Baja",Z36="Leve")),"Bajo",IF(OR(AND(X36="Muy baja",Z36="Moderado"),AND(X36="Baja",Z36="Menor"),AND(X36="Baja",Z36="Moderado"),AND(X36="Media",Z36="Leve"),AND(X36="Media",Z36="Menor"),AND(X36="Media",Z36="Moderado"),AND(X36="Alta",Z36="Leve"),AND(X36="Alta",Z36="Menor")),"Moderado",IF(OR(AND(X36="Muy Baja",Z36="Mayor"),AND(X36="Baja",Z36="Mayor"),AND(X36="Media",Z36="Mayor"),AND(X36="Alta",Z36="Moderado"),AND(X36="Alta",Z36="Mayor"),AND(X36="Muy Alta",Z36="Leve"),AND(X36="Muy Alta",Z36="Menor"),AND(X36="Muy Alta",Z36="Moderado"),AND(X36="Muy Alta",Z36="Mayor")),"Alto",IF(OR(AND(X36="Muy Baja",Z36="Catastrófico"),AND(X36="Baja",Z36="Catastrófico"),AND(X36="Media",Z36="Catastrófico"),AND(X36="Alta",Z36="Catastrófico"),AND(X36="Muy Alta",Z36="Catastrófico")),"Extremo","")))),"")</f>
        <v>Alto</v>
      </c>
      <c r="AC36" s="46" t="s">
        <v>134</v>
      </c>
      <c r="AD36" s="141" t="s">
        <v>298</v>
      </c>
      <c r="AE36" s="47" t="s">
        <v>244</v>
      </c>
      <c r="AF36" s="47" t="s">
        <v>246</v>
      </c>
      <c r="AG36" s="47" t="s">
        <v>250</v>
      </c>
      <c r="AH36" s="47" t="s">
        <v>245</v>
      </c>
      <c r="AI36" s="47" t="s">
        <v>41</v>
      </c>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row>
    <row r="37" spans="1:67" ht="64.5" customHeight="1" x14ac:dyDescent="0.25">
      <c r="A37" s="196"/>
      <c r="B37" s="199"/>
      <c r="C37" s="199"/>
      <c r="D37" s="199"/>
      <c r="E37" s="202"/>
      <c r="F37" s="199"/>
      <c r="G37" s="205"/>
      <c r="H37" s="208"/>
      <c r="I37" s="190"/>
      <c r="J37" s="211"/>
      <c r="K37" s="208"/>
      <c r="L37" s="190"/>
      <c r="M37" s="193"/>
      <c r="N37" s="49">
        <v>3</v>
      </c>
      <c r="O37" s="44" t="s">
        <v>239</v>
      </c>
      <c r="P37" s="44" t="s">
        <v>300</v>
      </c>
      <c r="Q37" s="95" t="s">
        <v>4</v>
      </c>
      <c r="R37" s="45" t="s">
        <v>14</v>
      </c>
      <c r="S37" s="45" t="s">
        <v>9</v>
      </c>
      <c r="T37" s="96" t="str">
        <f t="shared" si="32"/>
        <v>40%</v>
      </c>
      <c r="U37" s="45" t="s">
        <v>19</v>
      </c>
      <c r="V37" s="45" t="s">
        <v>22</v>
      </c>
      <c r="W37" s="45" t="s">
        <v>117</v>
      </c>
      <c r="X37" s="97" t="str">
        <f t="shared" si="27"/>
        <v>Muy Baja</v>
      </c>
      <c r="Y37" s="98">
        <f>IFERROR(IF(AND(Q36="Probabilidad",Q37="Probabilidad"),(Y36-(+Y36*T37)),IF(AND(Q36="Impacto",Q37="Probabilidad"),(Y35-(+Y35*T37)),IF(Q37="Impacto",Y36,""))),"")</f>
        <v>0.12959999999999999</v>
      </c>
      <c r="Z37" s="97" t="str">
        <f t="shared" si="28"/>
        <v>Mayor</v>
      </c>
      <c r="AA37" s="98">
        <f t="shared" ref="AA37:AA40" si="35">IFERROR(IF(AND(Q36="Impacto",Q37="Impacto"),(AA36-(+AA36*T37)),IF(AND(Q36="Probabilidad",Q37="Impacto"),(AA35-(+AA35*T37)),IF(Q37="Probabilidad",AA36,""))),"")</f>
        <v>0.8</v>
      </c>
      <c r="AB37" s="99" t="str">
        <f t="shared" si="34"/>
        <v>Alto</v>
      </c>
      <c r="AC37" s="46" t="s">
        <v>134</v>
      </c>
      <c r="AD37" s="141" t="s">
        <v>301</v>
      </c>
      <c r="AE37" s="47" t="s">
        <v>244</v>
      </c>
      <c r="AF37" s="47" t="s">
        <v>246</v>
      </c>
      <c r="AG37" s="47" t="s">
        <v>250</v>
      </c>
      <c r="AH37" s="47" t="s">
        <v>257</v>
      </c>
      <c r="AI37" s="47" t="s">
        <v>41</v>
      </c>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row>
    <row r="38" spans="1:67" ht="68.400000000000006" x14ac:dyDescent="0.25">
      <c r="A38" s="196"/>
      <c r="B38" s="199"/>
      <c r="C38" s="199"/>
      <c r="D38" s="199"/>
      <c r="E38" s="202"/>
      <c r="F38" s="199"/>
      <c r="G38" s="205"/>
      <c r="H38" s="208"/>
      <c r="I38" s="190"/>
      <c r="J38" s="211"/>
      <c r="K38" s="208"/>
      <c r="L38" s="190"/>
      <c r="M38" s="193"/>
      <c r="N38" s="49">
        <v>4</v>
      </c>
      <c r="O38" s="141" t="s">
        <v>244</v>
      </c>
      <c r="P38" s="141" t="s">
        <v>302</v>
      </c>
      <c r="Q38" s="95" t="s">
        <v>4</v>
      </c>
      <c r="R38" s="45" t="s">
        <v>14</v>
      </c>
      <c r="S38" s="45" t="s">
        <v>9</v>
      </c>
      <c r="T38" s="96" t="str">
        <f t="shared" si="32"/>
        <v>40%</v>
      </c>
      <c r="U38" s="45" t="s">
        <v>19</v>
      </c>
      <c r="V38" s="45" t="s">
        <v>22</v>
      </c>
      <c r="W38" s="45" t="s">
        <v>117</v>
      </c>
      <c r="X38" s="97" t="str">
        <f t="shared" si="27"/>
        <v>Muy Baja</v>
      </c>
      <c r="Y38" s="98">
        <f>IFERROR(IF(AND(Q37="Probabilidad",Q38="Probabilidad"),(Y37-(+Y37*T38)),IF(AND(Q37="Impacto",Q38="Probabilidad"),(Y36-(+Y36*T38)),IF(Q38="Impacto",Y37,""))),"")</f>
        <v>7.7759999999999996E-2</v>
      </c>
      <c r="Z38" s="97" t="str">
        <f t="shared" si="28"/>
        <v>Mayor</v>
      </c>
      <c r="AA38" s="98">
        <f t="shared" si="35"/>
        <v>0.8</v>
      </c>
      <c r="AB38" s="99" t="str">
        <f>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Alto</v>
      </c>
      <c r="AC38" s="46" t="s">
        <v>134</v>
      </c>
      <c r="AD38" s="141" t="s">
        <v>303</v>
      </c>
      <c r="AE38" s="47" t="s">
        <v>244</v>
      </c>
      <c r="AF38" s="47" t="s">
        <v>246</v>
      </c>
      <c r="AG38" s="47" t="s">
        <v>250</v>
      </c>
      <c r="AH38" s="47" t="s">
        <v>257</v>
      </c>
      <c r="AI38" s="47" t="s">
        <v>41</v>
      </c>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row>
    <row r="39" spans="1:67" x14ac:dyDescent="0.25">
      <c r="A39" s="196"/>
      <c r="B39" s="199"/>
      <c r="C39" s="199"/>
      <c r="D39" s="199"/>
      <c r="E39" s="202"/>
      <c r="F39" s="199"/>
      <c r="G39" s="205"/>
      <c r="H39" s="208"/>
      <c r="I39" s="190"/>
      <c r="J39" s="211"/>
      <c r="K39" s="208"/>
      <c r="L39" s="190"/>
      <c r="M39" s="193"/>
      <c r="N39" s="49"/>
      <c r="O39" s="141"/>
      <c r="P39" s="141"/>
      <c r="Q39" s="95" t="str">
        <f t="shared" ref="Q39:Q40" si="36">IF(OR(R39="Preventivo",R39="Detectivo"),"Probabilidad",IF(R39="Correctivo","Impacto",""))</f>
        <v/>
      </c>
      <c r="R39" s="45"/>
      <c r="S39" s="45"/>
      <c r="T39" s="96" t="str">
        <f t="shared" si="32"/>
        <v/>
      </c>
      <c r="U39" s="45"/>
      <c r="V39" s="45"/>
      <c r="W39" s="45"/>
      <c r="X39" s="97" t="str">
        <f t="shared" si="27"/>
        <v/>
      </c>
      <c r="Y39" s="98" t="str">
        <f>IFERROR(IF(AND(Q38="Probabilidad",Q39="Probabilidad"),(Y38-(+Y38*T39)),IF(AND(Q38="Impacto",Q39="Probabilidad"),(Y37-(+Y37*T39)),IF(Q39="Impacto",Y38,""))),"")</f>
        <v/>
      </c>
      <c r="Z39" s="97" t="str">
        <f t="shared" si="28"/>
        <v/>
      </c>
      <c r="AA39" s="98" t="str">
        <f t="shared" si="35"/>
        <v/>
      </c>
      <c r="AB39" s="99" t="str">
        <f t="shared" ref="AB39:AB40" si="37">IFERROR(IF(OR(AND(X39="Muy Baja",Z39="Leve"),AND(X39="Muy Baja",Z39="Menor"),AND(X39="Baja",Z39="Leve")),"Bajo",IF(OR(AND(X39="Muy baja",Z39="Moderado"),AND(X39="Baja",Z39="Menor"),AND(X39="Baja",Z39="Moderado"),AND(X39="Media",Z39="Leve"),AND(X39="Media",Z39="Menor"),AND(X39="Media",Z39="Moderado"),AND(X39="Alta",Z39="Leve"),AND(X39="Alta",Z39="Menor")),"Moderado",IF(OR(AND(X39="Muy Baja",Z39="Mayor"),AND(X39="Baja",Z39="Mayor"),AND(X39="Media",Z39="Mayor"),AND(X39="Alta",Z39="Moderado"),AND(X39="Alta",Z39="Mayor"),AND(X39="Muy Alta",Z39="Leve"),AND(X39="Muy Alta",Z39="Menor"),AND(X39="Muy Alta",Z39="Moderado"),AND(X39="Muy Alta",Z39="Mayor")),"Alto",IF(OR(AND(X39="Muy Baja",Z39="Catastrófico"),AND(X39="Baja",Z39="Catastrófico"),AND(X39="Media",Z39="Catastrófico"),AND(X39="Alta",Z39="Catastrófico"),AND(X39="Muy Alta",Z39="Catastrófico")),"Extremo","")))),"")</f>
        <v/>
      </c>
      <c r="AC39" s="46"/>
      <c r="AD39" s="47"/>
      <c r="AE39" s="43"/>
      <c r="AF39" s="101"/>
      <c r="AG39" s="48"/>
      <c r="AH39" s="47"/>
      <c r="AI39" s="43"/>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row>
    <row r="40" spans="1:67" x14ac:dyDescent="0.25">
      <c r="A40" s="197"/>
      <c r="B40" s="200"/>
      <c r="C40" s="200"/>
      <c r="D40" s="200"/>
      <c r="E40" s="203"/>
      <c r="F40" s="200"/>
      <c r="G40" s="206"/>
      <c r="H40" s="209"/>
      <c r="I40" s="191"/>
      <c r="J40" s="212"/>
      <c r="K40" s="209"/>
      <c r="L40" s="191"/>
      <c r="M40" s="194"/>
      <c r="N40" s="49"/>
      <c r="O40" s="141"/>
      <c r="P40" s="141"/>
      <c r="Q40" s="95" t="str">
        <f t="shared" si="36"/>
        <v/>
      </c>
      <c r="R40" s="45"/>
      <c r="S40" s="45"/>
      <c r="T40" s="96" t="str">
        <f t="shared" si="32"/>
        <v/>
      </c>
      <c r="U40" s="45"/>
      <c r="V40" s="45"/>
      <c r="W40" s="45"/>
      <c r="X40" s="97" t="str">
        <f t="shared" si="27"/>
        <v/>
      </c>
      <c r="Y40" s="98" t="str">
        <f>IFERROR(IF(AND(Q39="Probabilidad",Q40="Probabilidad"),(Y39-(+Y39*T40)),IF(AND(Q39="Impacto",Q40="Probabilidad"),(Y38-(+Y38*T40)),IF(Q40="Impacto",Y39,""))),"")</f>
        <v/>
      </c>
      <c r="Z40" s="97" t="str">
        <f t="shared" si="28"/>
        <v/>
      </c>
      <c r="AA40" s="98" t="str">
        <f t="shared" si="35"/>
        <v/>
      </c>
      <c r="AB40" s="99" t="str">
        <f t="shared" si="37"/>
        <v/>
      </c>
      <c r="AC40" s="46"/>
      <c r="AD40" s="47"/>
      <c r="AE40" s="43"/>
      <c r="AF40" s="101"/>
      <c r="AG40" s="48"/>
      <c r="AH40" s="47"/>
      <c r="AI40" s="43"/>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row>
    <row r="41" spans="1:67" ht="68.400000000000006" x14ac:dyDescent="0.25">
      <c r="A41" s="195">
        <v>6</v>
      </c>
      <c r="B41" s="198" t="s">
        <v>132</v>
      </c>
      <c r="C41" s="198" t="s">
        <v>304</v>
      </c>
      <c r="D41" s="198" t="s">
        <v>305</v>
      </c>
      <c r="E41" s="201" t="s">
        <v>306</v>
      </c>
      <c r="F41" s="198" t="s">
        <v>121</v>
      </c>
      <c r="G41" s="204">
        <v>365</v>
      </c>
      <c r="H41" s="207" t="str">
        <f>IF(G41&lt;=0,"",IF(G41&lt;=2,"Muy Baja",IF(G41&lt;=24,"Baja",IF(G41&lt;=500,"Media",IF(G41&lt;=5000,"Alta","Muy Alta")))))</f>
        <v>Media</v>
      </c>
      <c r="I41" s="189">
        <f>IF(H41="","",IF(H41="Muy Baja",0.2,IF(H41="Baja",0.4,IF(H41="Media",0.6,IF(H41="Alta",0.8,IF(H41="Muy Alta",1,))))))</f>
        <v>0.6</v>
      </c>
      <c r="J41" s="210" t="s">
        <v>152</v>
      </c>
      <c r="K41" s="207" t="str">
        <f>IF(OR(J41='Tabla Impacto'!$C$11,J41='Tabla Impacto'!$D$11),"Leve",IF(OR(J41='Tabla Impacto'!$C$12,J41='Tabla Impacto'!$D$12),"Menor",IF(OR(J41='Tabla Impacto'!$C$13,J41='Tabla Impacto'!$D$13),"Moderado",IF(OR(J41='Tabla Impacto'!$C$14,J41='Tabla Impacto'!$D$14),"Mayor",IF(OR(J41='Tabla Impacto'!$C$15,J41='Tabla Impacto'!$D$15),"Catastrófico","")))))</f>
        <v>Mayor</v>
      </c>
      <c r="L41" s="189">
        <f>IF(K41="","",IF(K41="Leve",0.2,IF(K41="Menor",0.4,IF(K41="Moderado",0.6,IF(K41="Mayor",0.8,IF(K41="Catastrófico",1,))))))</f>
        <v>0.8</v>
      </c>
      <c r="M41" s="192" t="str">
        <f>IF(OR(AND(H41="Muy Baja",K41="Leve"),AND(H41="Muy Baja",K41="Menor"),AND(H41="Baja",K41="Leve")),"Bajo",IF(OR(AND(H41="Muy baja",K41="Moderado"),AND(H41="Baja",K41="Menor"),AND(H41="Baja",K41="Moderado"),AND(H41="Media",K41="Leve"),AND(H41="Media",K41="Menor"),AND(H41="Media",K41="Moderado"),AND(H41="Alta",K41="Leve"),AND(H41="Alta",K41="Menor")),"Moderado",IF(OR(AND(H41="Muy Baja",K41="Mayor"),AND(H41="Baja",K41="Mayor"),AND(H41="Media",K41="Mayor"),AND(H41="Alta",K41="Moderado"),AND(H41="Alta",K41="Mayor"),AND(H41="Muy Alta",K41="Leve"),AND(H41="Muy Alta",K41="Menor"),AND(H41="Muy Alta",K41="Moderado"),AND(H41="Muy Alta",K41="Mayor")),"Alto",IF(OR(AND(H41="Muy Baja",K41="Catastrófico"),AND(H41="Baja",K41="Catastrófico"),AND(H41="Media",K41="Catastrófico"),AND(H41="Alta",K41="Catastrófico"),AND(H41="Muy Alta",K41="Catastrófico")),"Extremo",""))))</f>
        <v>Alto</v>
      </c>
      <c r="N41" s="49">
        <v>1</v>
      </c>
      <c r="O41" s="141" t="s">
        <v>275</v>
      </c>
      <c r="P41" s="141" t="s">
        <v>260</v>
      </c>
      <c r="Q41" s="95" t="s">
        <v>4</v>
      </c>
      <c r="R41" s="45" t="s">
        <v>14</v>
      </c>
      <c r="S41" s="45" t="s">
        <v>9</v>
      </c>
      <c r="T41" s="96" t="str">
        <f>IF(AND(R41="Preventivo",S41="Automático"),"50%",IF(AND(R41="Preventivo",S41="Manual"),"40%",IF(AND(R41="Detectivo",S41="Automático"),"40%",IF(AND(R41="Detectivo",S41="Manual"),"30%",IF(AND(R41="Correctivo",S41="Automático"),"35%",IF(AND(R41="Correctivo",S41="Manual"),"25%",""))))))</f>
        <v>40%</v>
      </c>
      <c r="U41" s="45" t="s">
        <v>19</v>
      </c>
      <c r="V41" s="45" t="s">
        <v>22</v>
      </c>
      <c r="W41" s="45" t="s">
        <v>117</v>
      </c>
      <c r="X41" s="97" t="str">
        <f t="shared" ref="X41:X58" si="38">IFERROR(IF(Y41="","",IF(Y41&lt;=0.2,"Muy Baja",IF(Y41&lt;=0.4,"Baja",IF(Y41&lt;=0.6,"Media",IF(Y41&lt;=0.8,"Alta","Muy Alta"))))),"")</f>
        <v>Baja</v>
      </c>
      <c r="Y41" s="98">
        <f>IFERROR(IF(Q41="Probabilidad",(I41-(+I41*T41)),IF(Q41="Impacto",I41,"")),"")</f>
        <v>0.36</v>
      </c>
      <c r="Z41" s="97" t="str">
        <f>IFERROR(IF(AA41="","",IF(AA41&lt;=0.2,"Leve",IF(AA41&lt;=0.4,"Menor",IF(AA41&lt;=0.6,"Moderado",IF(AA41&lt;=0.8,"Mayor","Catastrófico"))))),"")</f>
        <v>Mayor</v>
      </c>
      <c r="AA41" s="98">
        <f t="shared" ref="AA41" si="39">IFERROR(IF(Q41="Impacto",(L41-(+L41*T41)),IF(Q41="Probabilidad",L41,"")),"")</f>
        <v>0.8</v>
      </c>
      <c r="AB41" s="99" t="str">
        <f>IFERROR(IF(OR(AND(X41="Muy Baja",Z41="Leve"),AND(X41="Muy Baja",Z41="Menor"),AND(X41="Baja",Z41="Leve")),"Bajo",IF(OR(AND(X41="Muy baja",Z41="Moderado"),AND(X41="Baja",Z41="Menor"),AND(X41="Baja",Z41="Moderado"),AND(X41="Media",Z41="Leve"),AND(X41="Media",Z41="Menor"),AND(X41="Media",Z41="Moderado"),AND(X41="Alta",Z41="Leve"),AND(X41="Alta",Z41="Menor")),"Moderado",IF(OR(AND(X41="Muy Baja",Z41="Mayor"),AND(X41="Baja",Z41="Mayor"),AND(X41="Media",Z41="Mayor"),AND(X41="Alta",Z41="Moderado"),AND(X41="Alta",Z41="Mayor"),AND(X41="Muy Alta",Z41="Leve"),AND(X41="Muy Alta",Z41="Menor"),AND(X41="Muy Alta",Z41="Moderado"),AND(X41="Muy Alta",Z41="Mayor")),"Alto",IF(OR(AND(X41="Muy Baja",Z41="Catastrófico"),AND(X41="Baja",Z41="Catastrófico"),AND(X41="Media",Z41="Catastrófico"),AND(X41="Alta",Z41="Catastrófico"),AND(X41="Muy Alta",Z41="Catastrófico")),"Extremo","")))),"")</f>
        <v>Alto</v>
      </c>
      <c r="AC41" s="46" t="s">
        <v>134</v>
      </c>
      <c r="AD41" s="47" t="s">
        <v>307</v>
      </c>
      <c r="AE41" s="47" t="s">
        <v>244</v>
      </c>
      <c r="AF41" s="47" t="s">
        <v>246</v>
      </c>
      <c r="AG41" s="47" t="s">
        <v>250</v>
      </c>
      <c r="AH41" s="47" t="s">
        <v>245</v>
      </c>
      <c r="AI41" s="47" t="s">
        <v>41</v>
      </c>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row>
    <row r="42" spans="1:67" ht="68.400000000000006" x14ac:dyDescent="0.25">
      <c r="A42" s="196"/>
      <c r="B42" s="199"/>
      <c r="C42" s="199"/>
      <c r="D42" s="199"/>
      <c r="E42" s="202"/>
      <c r="F42" s="199"/>
      <c r="G42" s="205"/>
      <c r="H42" s="208"/>
      <c r="I42" s="190"/>
      <c r="J42" s="211"/>
      <c r="K42" s="208"/>
      <c r="L42" s="190"/>
      <c r="M42" s="193"/>
      <c r="N42" s="49">
        <v>2</v>
      </c>
      <c r="O42" s="141" t="s">
        <v>275</v>
      </c>
      <c r="P42" s="141" t="s">
        <v>308</v>
      </c>
      <c r="Q42" s="95" t="s">
        <v>4</v>
      </c>
      <c r="R42" s="45" t="s">
        <v>14</v>
      </c>
      <c r="S42" s="45" t="s">
        <v>9</v>
      </c>
      <c r="T42" s="96" t="str">
        <f t="shared" ref="T42:T46" si="40">IF(AND(R42="Preventivo",S42="Automático"),"50%",IF(AND(R42="Preventivo",S42="Manual"),"40%",IF(AND(R42="Detectivo",S42="Automático"),"40%",IF(AND(R42="Detectivo",S42="Manual"),"30%",IF(AND(R42="Correctivo",S42="Automático"),"35%",IF(AND(R42="Correctivo",S42="Manual"),"25%",""))))))</f>
        <v>40%</v>
      </c>
      <c r="U42" s="45" t="s">
        <v>19</v>
      </c>
      <c r="V42" s="45" t="s">
        <v>22</v>
      </c>
      <c r="W42" s="45" t="s">
        <v>117</v>
      </c>
      <c r="X42" s="97" t="str">
        <f t="shared" si="38"/>
        <v>Baja</v>
      </c>
      <c r="Y42" s="98">
        <f>IFERROR(IF(AND(Q41="Probabilidad",Q42="Probabilidad"),(Y41-(+Y41*T42)),IF(Q42="Probabilidad",(I41-(+I41*T42)),IF(Q42="Impacto",Y41,""))),"")</f>
        <v>0.216</v>
      </c>
      <c r="Z42" s="97" t="str">
        <f t="shared" ref="Z42:Z58" si="41">IFERROR(IF(AA42="","",IF(AA42&lt;=0.2,"Leve",IF(AA42&lt;=0.4,"Menor",IF(AA42&lt;=0.6,"Moderado",IF(AA42&lt;=0.8,"Mayor","Catastrófico"))))),"")</f>
        <v>Mayor</v>
      </c>
      <c r="AA42" s="98">
        <f t="shared" ref="AA42" si="42">IFERROR(IF(AND(Q41="Impacto",Q42="Impacto"),(AA41-(+AA41*T42)),IF(Q42="Impacto",(L41-(+L41*T42)),IF(Q42="Probabilidad",AA41,""))),"")</f>
        <v>0.8</v>
      </c>
      <c r="AB42" s="99" t="str">
        <f t="shared" ref="AB42:AB43" si="43">IFERROR(IF(OR(AND(X42="Muy Baja",Z42="Leve"),AND(X42="Muy Baja",Z42="Menor"),AND(X42="Baja",Z42="Leve")),"Bajo",IF(OR(AND(X42="Muy baja",Z42="Moderado"),AND(X42="Baja",Z42="Menor"),AND(X42="Baja",Z42="Moderado"),AND(X42="Media",Z42="Leve"),AND(X42="Media",Z42="Menor"),AND(X42="Media",Z42="Moderado"),AND(X42="Alta",Z42="Leve"),AND(X42="Alta",Z42="Menor")),"Moderado",IF(OR(AND(X42="Muy Baja",Z42="Mayor"),AND(X42="Baja",Z42="Mayor"),AND(X42="Media",Z42="Mayor"),AND(X42="Alta",Z42="Moderado"),AND(X42="Alta",Z42="Mayor"),AND(X42="Muy Alta",Z42="Leve"),AND(X42="Muy Alta",Z42="Menor"),AND(X42="Muy Alta",Z42="Moderado"),AND(X42="Muy Alta",Z42="Mayor")),"Alto",IF(OR(AND(X42="Muy Baja",Z42="Catastrófico"),AND(X42="Baja",Z42="Catastrófico"),AND(X42="Media",Z42="Catastrófico"),AND(X42="Alta",Z42="Catastrófico"),AND(X42="Muy Alta",Z42="Catastrófico")),"Extremo","")))),"")</f>
        <v>Alto</v>
      </c>
      <c r="AC42" s="46" t="s">
        <v>134</v>
      </c>
      <c r="AD42" s="47" t="s">
        <v>259</v>
      </c>
      <c r="AE42" s="47" t="s">
        <v>244</v>
      </c>
      <c r="AF42" s="47" t="s">
        <v>246</v>
      </c>
      <c r="AG42" s="47" t="s">
        <v>250</v>
      </c>
      <c r="AH42" s="47" t="s">
        <v>245</v>
      </c>
      <c r="AI42" s="47" t="s">
        <v>41</v>
      </c>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row>
    <row r="43" spans="1:67" x14ac:dyDescent="0.25">
      <c r="A43" s="196"/>
      <c r="B43" s="199"/>
      <c r="C43" s="199"/>
      <c r="D43" s="199"/>
      <c r="E43" s="202"/>
      <c r="F43" s="199"/>
      <c r="G43" s="205"/>
      <c r="H43" s="208"/>
      <c r="I43" s="190"/>
      <c r="J43" s="211"/>
      <c r="K43" s="208"/>
      <c r="L43" s="190"/>
      <c r="M43" s="193"/>
      <c r="N43" s="49"/>
      <c r="O43" s="44"/>
      <c r="P43" s="44"/>
      <c r="Q43" s="95" t="str">
        <f>IF(OR(R43="Preventivo",R43="Detectivo"),"Probabilidad",IF(R43="Correctivo","Impacto",""))</f>
        <v/>
      </c>
      <c r="R43" s="45"/>
      <c r="S43" s="45"/>
      <c r="T43" s="96" t="str">
        <f t="shared" si="40"/>
        <v/>
      </c>
      <c r="U43" s="45"/>
      <c r="V43" s="45"/>
      <c r="W43" s="45"/>
      <c r="X43" s="97" t="str">
        <f t="shared" si="38"/>
        <v/>
      </c>
      <c r="Y43" s="98" t="str">
        <f>IFERROR(IF(AND(Q42="Probabilidad",Q43="Probabilidad"),(Y42-(+Y42*T43)),IF(AND(Q42="Impacto",Q43="Probabilidad"),(Y41-(+Y41*T43)),IF(Q43="Impacto",Y42,""))),"")</f>
        <v/>
      </c>
      <c r="Z43" s="97" t="str">
        <f t="shared" si="41"/>
        <v/>
      </c>
      <c r="AA43" s="98" t="str">
        <f t="shared" ref="AA43:AA46" si="44">IFERROR(IF(AND(Q42="Impacto",Q43="Impacto"),(AA42-(+AA42*T43)),IF(AND(Q42="Probabilidad",Q43="Impacto"),(AA41-(+AA41*T43)),IF(Q43="Probabilidad",AA42,""))),"")</f>
        <v/>
      </c>
      <c r="AB43" s="99" t="str">
        <f t="shared" si="43"/>
        <v/>
      </c>
      <c r="AC43" s="46"/>
      <c r="AD43" s="47"/>
      <c r="AE43" s="43"/>
      <c r="AF43" s="101"/>
      <c r="AG43" s="48"/>
      <c r="AH43" s="47"/>
      <c r="AI43" s="43"/>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row>
    <row r="44" spans="1:67" x14ac:dyDescent="0.25">
      <c r="A44" s="196"/>
      <c r="B44" s="199"/>
      <c r="C44" s="199"/>
      <c r="D44" s="199"/>
      <c r="E44" s="202"/>
      <c r="F44" s="199"/>
      <c r="G44" s="205"/>
      <c r="H44" s="208"/>
      <c r="I44" s="190"/>
      <c r="J44" s="211"/>
      <c r="K44" s="208"/>
      <c r="L44" s="190"/>
      <c r="M44" s="193"/>
      <c r="N44" s="49"/>
      <c r="O44" s="141"/>
      <c r="P44" s="141"/>
      <c r="Q44" s="95" t="str">
        <f t="shared" ref="Q44:Q46" si="45">IF(OR(R44="Preventivo",R44="Detectivo"),"Probabilidad",IF(R44="Correctivo","Impacto",""))</f>
        <v/>
      </c>
      <c r="R44" s="45"/>
      <c r="S44" s="45"/>
      <c r="T44" s="96" t="str">
        <f t="shared" si="40"/>
        <v/>
      </c>
      <c r="U44" s="45"/>
      <c r="V44" s="45"/>
      <c r="W44" s="45"/>
      <c r="X44" s="97" t="str">
        <f t="shared" si="38"/>
        <v/>
      </c>
      <c r="Y44" s="98" t="str">
        <f>IFERROR(IF(AND(Q43="Probabilidad",Q44="Probabilidad"),(Y43-(+Y43*T44)),IF(AND(Q43="Impacto",Q44="Probabilidad"),(Y42-(+Y42*T44)),IF(Q44="Impacto",Y43,""))),"")</f>
        <v/>
      </c>
      <c r="Z44" s="97" t="str">
        <f t="shared" si="41"/>
        <v/>
      </c>
      <c r="AA44" s="98" t="str">
        <f t="shared" si="44"/>
        <v/>
      </c>
      <c r="AB44" s="99" t="str">
        <f>IFERROR(IF(OR(AND(X44="Muy Baja",Z44="Leve"),AND(X44="Muy Baja",Z44="Menor"),AND(X44="Baja",Z44="Leve")),"Bajo",IF(OR(AND(X44="Muy baja",Z44="Moderado"),AND(X44="Baja",Z44="Menor"),AND(X44="Baja",Z44="Moderado"),AND(X44="Media",Z44="Leve"),AND(X44="Media",Z44="Menor"),AND(X44="Media",Z44="Moderado"),AND(X44="Alta",Z44="Leve"),AND(X44="Alta",Z44="Menor")),"Moderado",IF(OR(AND(X44="Muy Baja",Z44="Mayor"),AND(X44="Baja",Z44="Mayor"),AND(X44="Media",Z44="Mayor"),AND(X44="Alta",Z44="Moderado"),AND(X44="Alta",Z44="Mayor"),AND(X44="Muy Alta",Z44="Leve"),AND(X44="Muy Alta",Z44="Menor"),AND(X44="Muy Alta",Z44="Moderado"),AND(X44="Muy Alta",Z44="Mayor")),"Alto",IF(OR(AND(X44="Muy Baja",Z44="Catastrófico"),AND(X44="Baja",Z44="Catastrófico"),AND(X44="Media",Z44="Catastrófico"),AND(X44="Alta",Z44="Catastrófico"),AND(X44="Muy Alta",Z44="Catastrófico")),"Extremo","")))),"")</f>
        <v/>
      </c>
      <c r="AC44" s="46"/>
      <c r="AD44" s="47"/>
      <c r="AE44" s="43"/>
      <c r="AF44" s="101"/>
      <c r="AG44" s="48"/>
      <c r="AH44" s="47"/>
      <c r="AI44" s="43"/>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row>
    <row r="45" spans="1:67" x14ac:dyDescent="0.25">
      <c r="A45" s="196"/>
      <c r="B45" s="199"/>
      <c r="C45" s="199"/>
      <c r="D45" s="199"/>
      <c r="E45" s="202"/>
      <c r="F45" s="199"/>
      <c r="G45" s="205"/>
      <c r="H45" s="208"/>
      <c r="I45" s="190"/>
      <c r="J45" s="211"/>
      <c r="K45" s="208"/>
      <c r="L45" s="190"/>
      <c r="M45" s="193"/>
      <c r="N45" s="49"/>
      <c r="O45" s="141"/>
      <c r="P45" s="141"/>
      <c r="Q45" s="95" t="str">
        <f t="shared" si="45"/>
        <v/>
      </c>
      <c r="R45" s="45"/>
      <c r="S45" s="45"/>
      <c r="T45" s="96" t="str">
        <f t="shared" si="40"/>
        <v/>
      </c>
      <c r="U45" s="45"/>
      <c r="V45" s="45"/>
      <c r="W45" s="45"/>
      <c r="X45" s="97" t="str">
        <f t="shared" si="38"/>
        <v/>
      </c>
      <c r="Y45" s="98" t="str">
        <f>IFERROR(IF(AND(Q44="Probabilidad",Q45="Probabilidad"),(Y44-(+Y44*T45)),IF(AND(Q44="Impacto",Q45="Probabilidad"),(Y43-(+Y43*T45)),IF(Q45="Impacto",Y44,""))),"")</f>
        <v/>
      </c>
      <c r="Z45" s="97" t="str">
        <f t="shared" si="41"/>
        <v/>
      </c>
      <c r="AA45" s="98" t="str">
        <f t="shared" si="44"/>
        <v/>
      </c>
      <c r="AB45" s="99" t="str">
        <f t="shared" ref="AB45:AB46" si="46">IFERROR(IF(OR(AND(X45="Muy Baja",Z45="Leve"),AND(X45="Muy Baja",Z45="Menor"),AND(X45="Baja",Z45="Leve")),"Bajo",IF(OR(AND(X45="Muy baja",Z45="Moderado"),AND(X45="Baja",Z45="Menor"),AND(X45="Baja",Z45="Moderado"),AND(X45="Media",Z45="Leve"),AND(X45="Media",Z45="Menor"),AND(X45="Media",Z45="Moderado"),AND(X45="Alta",Z45="Leve"),AND(X45="Alta",Z45="Menor")),"Moderado",IF(OR(AND(X45="Muy Baja",Z45="Mayor"),AND(X45="Baja",Z45="Mayor"),AND(X45="Media",Z45="Mayor"),AND(X45="Alta",Z45="Moderado"),AND(X45="Alta",Z45="Mayor"),AND(X45="Muy Alta",Z45="Leve"),AND(X45="Muy Alta",Z45="Menor"),AND(X45="Muy Alta",Z45="Moderado"),AND(X45="Muy Alta",Z45="Mayor")),"Alto",IF(OR(AND(X45="Muy Baja",Z45="Catastrófico"),AND(X45="Baja",Z45="Catastrófico"),AND(X45="Media",Z45="Catastrófico"),AND(X45="Alta",Z45="Catastrófico"),AND(X45="Muy Alta",Z45="Catastrófico")),"Extremo","")))),"")</f>
        <v/>
      </c>
      <c r="AC45" s="46"/>
      <c r="AD45" s="47"/>
      <c r="AE45" s="43"/>
      <c r="AF45" s="101"/>
      <c r="AG45" s="48"/>
      <c r="AH45" s="47"/>
      <c r="AI45" s="43"/>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row>
    <row r="46" spans="1:67" x14ac:dyDescent="0.25">
      <c r="A46" s="197"/>
      <c r="B46" s="200"/>
      <c r="C46" s="200"/>
      <c r="D46" s="200"/>
      <c r="E46" s="203"/>
      <c r="F46" s="200"/>
      <c r="G46" s="206"/>
      <c r="H46" s="209"/>
      <c r="I46" s="191"/>
      <c r="J46" s="212"/>
      <c r="K46" s="209"/>
      <c r="L46" s="191"/>
      <c r="M46" s="194"/>
      <c r="N46" s="49"/>
      <c r="O46" s="141"/>
      <c r="P46" s="141"/>
      <c r="Q46" s="95" t="str">
        <f t="shared" si="45"/>
        <v/>
      </c>
      <c r="R46" s="45"/>
      <c r="S46" s="45"/>
      <c r="T46" s="96" t="str">
        <f t="shared" si="40"/>
        <v/>
      </c>
      <c r="U46" s="45"/>
      <c r="V46" s="45"/>
      <c r="W46" s="45"/>
      <c r="X46" s="97" t="str">
        <f t="shared" si="38"/>
        <v/>
      </c>
      <c r="Y46" s="98" t="str">
        <f>IFERROR(IF(AND(Q45="Probabilidad",Q46="Probabilidad"),(Y45-(+Y45*T46)),IF(AND(Q45="Impacto",Q46="Probabilidad"),(Y44-(+Y44*T46)),IF(Q46="Impacto",Y45,""))),"")</f>
        <v/>
      </c>
      <c r="Z46" s="97" t="str">
        <f t="shared" si="41"/>
        <v/>
      </c>
      <c r="AA46" s="98" t="str">
        <f t="shared" si="44"/>
        <v/>
      </c>
      <c r="AB46" s="99" t="str">
        <f t="shared" si="46"/>
        <v/>
      </c>
      <c r="AC46" s="46"/>
      <c r="AD46" s="47"/>
      <c r="AE46" s="43"/>
      <c r="AF46" s="101"/>
      <c r="AG46" s="48"/>
      <c r="AH46" s="47"/>
      <c r="AI46" s="43"/>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row>
    <row r="47" spans="1:67" ht="68.400000000000006" x14ac:dyDescent="0.25">
      <c r="A47" s="195">
        <v>7</v>
      </c>
      <c r="B47" s="198" t="s">
        <v>132</v>
      </c>
      <c r="C47" s="198" t="s">
        <v>311</v>
      </c>
      <c r="D47" s="198" t="s">
        <v>309</v>
      </c>
      <c r="E47" s="201" t="s">
        <v>312</v>
      </c>
      <c r="F47" s="198" t="s">
        <v>121</v>
      </c>
      <c r="G47" s="204">
        <v>365</v>
      </c>
      <c r="H47" s="207" t="str">
        <f>IF(G47&lt;=0,"",IF(G47&lt;=2,"Muy Baja",IF(G47&lt;=24,"Baja",IF(G47&lt;=500,"Media",IF(G47&lt;=5000,"Alta","Muy Alta")))))</f>
        <v>Media</v>
      </c>
      <c r="I47" s="189">
        <f>IF(H47="","",IF(H47="Muy Baja",0.2,IF(H47="Baja",0.4,IF(H47="Media",0.6,IF(H47="Alta",0.8,IF(H47="Muy Alta",1,))))))</f>
        <v>0.6</v>
      </c>
      <c r="J47" s="210" t="s">
        <v>152</v>
      </c>
      <c r="K47" s="207" t="str">
        <f>IF(OR(J47='Tabla Impacto'!$C$11,J47='Tabla Impacto'!$D$11),"Leve",IF(OR(J47='Tabla Impacto'!$C$12,J47='Tabla Impacto'!$D$12),"Menor",IF(OR(J47='Tabla Impacto'!$C$13,J47='Tabla Impacto'!$D$13),"Moderado",IF(OR(J47='Tabla Impacto'!$C$14,J47='Tabla Impacto'!$D$14),"Mayor",IF(OR(J47='Tabla Impacto'!$C$15,J47='Tabla Impacto'!$D$15),"Catastrófico","")))))</f>
        <v>Mayor</v>
      </c>
      <c r="L47" s="189">
        <f>IF(K47="","",IF(K47="Leve",0.2,IF(K47="Menor",0.4,IF(K47="Moderado",0.6,IF(K47="Mayor",0.8,IF(K47="Catastrófico",1,))))))</f>
        <v>0.8</v>
      </c>
      <c r="M47" s="192" t="str">
        <f>IF(OR(AND(H47="Muy Baja",K47="Leve"),AND(H47="Muy Baja",K47="Menor"),AND(H47="Baja",K47="Leve")),"Bajo",IF(OR(AND(H47="Muy baja",K47="Moderado"),AND(H47="Baja",K47="Menor"),AND(H47="Baja",K47="Moderado"),AND(H47="Media",K47="Leve"),AND(H47="Media",K47="Menor"),AND(H47="Media",K47="Moderado"),AND(H47="Alta",K47="Leve"),AND(H47="Alta",K47="Menor")),"Moderado",IF(OR(AND(H47="Muy Baja",K47="Mayor"),AND(H47="Baja",K47="Mayor"),AND(H47="Media",K47="Mayor"),AND(H47="Alta",K47="Moderado"),AND(H47="Alta",K47="Mayor"),AND(H47="Muy Alta",K47="Leve"),AND(H47="Muy Alta",K47="Menor"),AND(H47="Muy Alta",K47="Moderado"),AND(H47="Muy Alta",K47="Mayor")),"Alto",IF(OR(AND(H47="Muy Baja",K47="Catastrófico"),AND(H47="Baja",K47="Catastrófico"),AND(H47="Media",K47="Catastrófico"),AND(H47="Alta",K47="Catastrófico"),AND(H47="Muy Alta",K47="Catastrófico")),"Extremo",""))))</f>
        <v>Alto</v>
      </c>
      <c r="N47" s="49">
        <v>1</v>
      </c>
      <c r="O47" s="141" t="s">
        <v>239</v>
      </c>
      <c r="P47" s="141" t="s">
        <v>313</v>
      </c>
      <c r="Q47" s="95" t="s">
        <v>4</v>
      </c>
      <c r="R47" s="45" t="s">
        <v>14</v>
      </c>
      <c r="S47" s="45" t="s">
        <v>9</v>
      </c>
      <c r="T47" s="96" t="str">
        <f>IF(AND(R47="Preventivo",S47="Automático"),"50%",IF(AND(R47="Preventivo",S47="Manual"),"40%",IF(AND(R47="Detectivo",S47="Automático"),"40%",IF(AND(R47="Detectivo",S47="Manual"),"30%",IF(AND(R47="Correctivo",S47="Automático"),"35%",IF(AND(R47="Correctivo",S47="Manual"),"25%",""))))))</f>
        <v>40%</v>
      </c>
      <c r="U47" s="45" t="s">
        <v>19</v>
      </c>
      <c r="V47" s="45" t="s">
        <v>22</v>
      </c>
      <c r="W47" s="45" t="s">
        <v>117</v>
      </c>
      <c r="X47" s="97" t="str">
        <f t="shared" si="38"/>
        <v>Baja</v>
      </c>
      <c r="Y47" s="98">
        <f>IFERROR(IF(Q47="Probabilidad",(I47-(+I47*T47)),IF(Q47="Impacto",I47,"")),"")</f>
        <v>0.36</v>
      </c>
      <c r="Z47" s="97" t="str">
        <f>IFERROR(IF(AA47="","",IF(AA47&lt;=0.2,"Leve",IF(AA47&lt;=0.4,"Menor",IF(AA47&lt;=0.6,"Moderado",IF(AA47&lt;=0.8,"Mayor","Catastrófico"))))),"")</f>
        <v>Mayor</v>
      </c>
      <c r="AA47" s="98">
        <f t="shared" ref="AA47" si="47">IFERROR(IF(Q47="Impacto",(L47-(+L47*T47)),IF(Q47="Probabilidad",L47,"")),"")</f>
        <v>0.8</v>
      </c>
      <c r="AB47" s="99" t="str">
        <f>IFERROR(IF(OR(AND(X47="Muy Baja",Z47="Leve"),AND(X47="Muy Baja",Z47="Menor"),AND(X47="Baja",Z47="Leve")),"Bajo",IF(OR(AND(X47="Muy baja",Z47="Moderado"),AND(X47="Baja",Z47="Menor"),AND(X47="Baja",Z47="Moderado"),AND(X47="Media",Z47="Leve"),AND(X47="Media",Z47="Menor"),AND(X47="Media",Z47="Moderado"),AND(X47="Alta",Z47="Leve"),AND(X47="Alta",Z47="Menor")),"Moderado",IF(OR(AND(X47="Muy Baja",Z47="Mayor"),AND(X47="Baja",Z47="Mayor"),AND(X47="Media",Z47="Mayor"),AND(X47="Alta",Z47="Moderado"),AND(X47="Alta",Z47="Mayor"),AND(X47="Muy Alta",Z47="Leve"),AND(X47="Muy Alta",Z47="Menor"),AND(X47="Muy Alta",Z47="Moderado"),AND(X47="Muy Alta",Z47="Mayor")),"Alto",IF(OR(AND(X47="Muy Baja",Z47="Catastrófico"),AND(X47="Baja",Z47="Catastrófico"),AND(X47="Media",Z47="Catastrófico"),AND(X47="Alta",Z47="Catastrófico"),AND(X47="Muy Alta",Z47="Catastrófico")),"Extremo","")))),"")</f>
        <v>Alto</v>
      </c>
      <c r="AC47" s="46" t="s">
        <v>134</v>
      </c>
      <c r="AD47" s="47" t="s">
        <v>314</v>
      </c>
      <c r="AE47" s="47" t="s">
        <v>244</v>
      </c>
      <c r="AF47" s="47" t="s">
        <v>246</v>
      </c>
      <c r="AG47" s="47" t="s">
        <v>250</v>
      </c>
      <c r="AH47" s="47" t="s">
        <v>245</v>
      </c>
      <c r="AI47" s="47" t="s">
        <v>41</v>
      </c>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row>
    <row r="48" spans="1:67" ht="68.400000000000006" x14ac:dyDescent="0.25">
      <c r="A48" s="196"/>
      <c r="B48" s="199"/>
      <c r="C48" s="199"/>
      <c r="D48" s="199"/>
      <c r="E48" s="202"/>
      <c r="F48" s="199"/>
      <c r="G48" s="205"/>
      <c r="H48" s="208"/>
      <c r="I48" s="190"/>
      <c r="J48" s="211"/>
      <c r="K48" s="208"/>
      <c r="L48" s="190"/>
      <c r="M48" s="193"/>
      <c r="N48" s="49">
        <v>2</v>
      </c>
      <c r="O48" s="141" t="s">
        <v>262</v>
      </c>
      <c r="P48" s="141" t="s">
        <v>315</v>
      </c>
      <c r="Q48" s="95" t="s">
        <v>4</v>
      </c>
      <c r="R48" s="45" t="s">
        <v>14</v>
      </c>
      <c r="S48" s="45" t="s">
        <v>9</v>
      </c>
      <c r="T48" s="96" t="str">
        <f t="shared" ref="T48:T52" si="48">IF(AND(R48="Preventivo",S48="Automático"),"50%",IF(AND(R48="Preventivo",S48="Manual"),"40%",IF(AND(R48="Detectivo",S48="Automático"),"40%",IF(AND(R48="Detectivo",S48="Manual"),"30%",IF(AND(R48="Correctivo",S48="Automático"),"35%",IF(AND(R48="Correctivo",S48="Manual"),"25%",""))))))</f>
        <v>40%</v>
      </c>
      <c r="U48" s="45" t="s">
        <v>19</v>
      </c>
      <c r="V48" s="45" t="s">
        <v>22</v>
      </c>
      <c r="W48" s="45" t="s">
        <v>117</v>
      </c>
      <c r="X48" s="97" t="str">
        <f t="shared" si="38"/>
        <v>Baja</v>
      </c>
      <c r="Y48" s="98">
        <f>IFERROR(IF(AND(Q47="Probabilidad",Q48="Probabilidad"),(Y47-(+Y47*T48)),IF(Q48="Probabilidad",(I47-(+I47*T48)),IF(Q48="Impacto",Y47,""))),"")</f>
        <v>0.216</v>
      </c>
      <c r="Z48" s="97" t="str">
        <f t="shared" si="41"/>
        <v>Mayor</v>
      </c>
      <c r="AA48" s="98">
        <f t="shared" ref="AA48" si="49">IFERROR(IF(AND(Q47="Impacto",Q48="Impacto"),(AA47-(+AA47*T48)),IF(Q48="Impacto",(L47-(+L47*T48)),IF(Q48="Probabilidad",AA47,""))),"")</f>
        <v>0.8</v>
      </c>
      <c r="AB48" s="99" t="str">
        <f t="shared" ref="AB48:AB49" si="50">IFERROR(IF(OR(AND(X48="Muy Baja",Z48="Leve"),AND(X48="Muy Baja",Z48="Menor"),AND(X48="Baja",Z48="Leve")),"Bajo",IF(OR(AND(X48="Muy baja",Z48="Moderado"),AND(X48="Baja",Z48="Menor"),AND(X48="Baja",Z48="Moderado"),AND(X48="Media",Z48="Leve"),AND(X48="Media",Z48="Menor"),AND(X48="Media",Z48="Moderado"),AND(X48="Alta",Z48="Leve"),AND(X48="Alta",Z48="Menor")),"Moderado",IF(OR(AND(X48="Muy Baja",Z48="Mayor"),AND(X48="Baja",Z48="Mayor"),AND(X48="Media",Z48="Mayor"),AND(X48="Alta",Z48="Moderado"),AND(X48="Alta",Z48="Mayor"),AND(X48="Muy Alta",Z48="Leve"),AND(X48="Muy Alta",Z48="Menor"),AND(X48="Muy Alta",Z48="Moderado"),AND(X48="Muy Alta",Z48="Mayor")),"Alto",IF(OR(AND(X48="Muy Baja",Z48="Catastrófico"),AND(X48="Baja",Z48="Catastrófico"),AND(X48="Media",Z48="Catastrófico"),AND(X48="Alta",Z48="Catastrófico"),AND(X48="Muy Alta",Z48="Catastrófico")),"Extremo","")))),"")</f>
        <v>Alto</v>
      </c>
      <c r="AC48" s="46" t="s">
        <v>134</v>
      </c>
      <c r="AD48" s="47" t="s">
        <v>261</v>
      </c>
      <c r="AE48" s="43" t="s">
        <v>262</v>
      </c>
      <c r="AF48" s="101" t="s">
        <v>264</v>
      </c>
      <c r="AG48" s="48" t="s">
        <v>250</v>
      </c>
      <c r="AH48" s="47" t="s">
        <v>251</v>
      </c>
      <c r="AI48" s="43" t="s">
        <v>41</v>
      </c>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row>
    <row r="49" spans="1:67" x14ac:dyDescent="0.25">
      <c r="A49" s="196"/>
      <c r="B49" s="199"/>
      <c r="C49" s="199"/>
      <c r="D49" s="199"/>
      <c r="E49" s="202"/>
      <c r="F49" s="199"/>
      <c r="G49" s="205"/>
      <c r="H49" s="208"/>
      <c r="I49" s="190"/>
      <c r="J49" s="211"/>
      <c r="K49" s="208"/>
      <c r="L49" s="190"/>
      <c r="M49" s="193"/>
      <c r="N49" s="49"/>
      <c r="O49" s="44"/>
      <c r="P49" s="44"/>
      <c r="Q49" s="95" t="str">
        <f>IF(OR(R49="Preventivo",R49="Detectivo"),"Probabilidad",IF(R49="Correctivo","Impacto",""))</f>
        <v/>
      </c>
      <c r="R49" s="45"/>
      <c r="S49" s="45"/>
      <c r="T49" s="96" t="str">
        <f t="shared" si="48"/>
        <v/>
      </c>
      <c r="U49" s="45"/>
      <c r="V49" s="45"/>
      <c r="W49" s="45"/>
      <c r="X49" s="97" t="str">
        <f t="shared" si="38"/>
        <v/>
      </c>
      <c r="Y49" s="98" t="str">
        <f>IFERROR(IF(AND(Q48="Probabilidad",Q49="Probabilidad"),(Y48-(+Y48*T49)),IF(AND(Q48="Impacto",Q49="Probabilidad"),(Y47-(+Y47*T49)),IF(Q49="Impacto",Y48,""))),"")</f>
        <v/>
      </c>
      <c r="Z49" s="97" t="str">
        <f t="shared" si="41"/>
        <v/>
      </c>
      <c r="AA49" s="98" t="str">
        <f t="shared" ref="AA49:AA52" si="51">IFERROR(IF(AND(Q48="Impacto",Q49="Impacto"),(AA48-(+AA48*T49)),IF(AND(Q48="Probabilidad",Q49="Impacto"),(AA47-(+AA47*T49)),IF(Q49="Probabilidad",AA48,""))),"")</f>
        <v/>
      </c>
      <c r="AB49" s="99" t="str">
        <f t="shared" si="50"/>
        <v/>
      </c>
      <c r="AC49" s="46"/>
      <c r="AD49" s="47"/>
      <c r="AE49" s="43"/>
      <c r="AF49" s="101"/>
      <c r="AG49" s="48"/>
      <c r="AH49" s="47"/>
      <c r="AI49" s="43"/>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row>
    <row r="50" spans="1:67" x14ac:dyDescent="0.25">
      <c r="A50" s="196"/>
      <c r="B50" s="199"/>
      <c r="C50" s="199"/>
      <c r="D50" s="199"/>
      <c r="E50" s="202"/>
      <c r="F50" s="199"/>
      <c r="G50" s="205"/>
      <c r="H50" s="208"/>
      <c r="I50" s="190"/>
      <c r="J50" s="211"/>
      <c r="K50" s="208"/>
      <c r="L50" s="190"/>
      <c r="M50" s="193"/>
      <c r="N50" s="49"/>
      <c r="O50" s="141"/>
      <c r="P50" s="141"/>
      <c r="Q50" s="95" t="str">
        <f t="shared" ref="Q50:Q52" si="52">IF(OR(R50="Preventivo",R50="Detectivo"),"Probabilidad",IF(R50="Correctivo","Impacto",""))</f>
        <v/>
      </c>
      <c r="R50" s="45"/>
      <c r="S50" s="45"/>
      <c r="T50" s="96" t="str">
        <f t="shared" si="48"/>
        <v/>
      </c>
      <c r="U50" s="45"/>
      <c r="V50" s="45"/>
      <c r="W50" s="45"/>
      <c r="X50" s="97" t="str">
        <f t="shared" si="38"/>
        <v/>
      </c>
      <c r="Y50" s="98" t="str">
        <f>IFERROR(IF(AND(Q49="Probabilidad",Q50="Probabilidad"),(Y49-(+Y49*T50)),IF(AND(Q49="Impacto",Q50="Probabilidad"),(Y48-(+Y48*T50)),IF(Q50="Impacto",Y49,""))),"")</f>
        <v/>
      </c>
      <c r="Z50" s="97" t="str">
        <f t="shared" si="41"/>
        <v/>
      </c>
      <c r="AA50" s="98" t="str">
        <f t="shared" si="51"/>
        <v/>
      </c>
      <c r="AB50" s="99" t="str">
        <f>IFERROR(IF(OR(AND(X50="Muy Baja",Z50="Leve"),AND(X50="Muy Baja",Z50="Menor"),AND(X50="Baja",Z50="Leve")),"Bajo",IF(OR(AND(X50="Muy baja",Z50="Moderado"),AND(X50="Baja",Z50="Menor"),AND(X50="Baja",Z50="Moderado"),AND(X50="Media",Z50="Leve"),AND(X50="Media",Z50="Menor"),AND(X50="Media",Z50="Moderado"),AND(X50="Alta",Z50="Leve"),AND(X50="Alta",Z50="Menor")),"Moderado",IF(OR(AND(X50="Muy Baja",Z50="Mayor"),AND(X50="Baja",Z50="Mayor"),AND(X50="Media",Z50="Mayor"),AND(X50="Alta",Z50="Moderado"),AND(X50="Alta",Z50="Mayor"),AND(X50="Muy Alta",Z50="Leve"),AND(X50="Muy Alta",Z50="Menor"),AND(X50="Muy Alta",Z50="Moderado"),AND(X50="Muy Alta",Z50="Mayor")),"Alto",IF(OR(AND(X50="Muy Baja",Z50="Catastrófico"),AND(X50="Baja",Z50="Catastrófico"),AND(X50="Media",Z50="Catastrófico"),AND(X50="Alta",Z50="Catastrófico"),AND(X50="Muy Alta",Z50="Catastrófico")),"Extremo","")))),"")</f>
        <v/>
      </c>
      <c r="AC50" s="46"/>
      <c r="AD50" s="47"/>
      <c r="AE50" s="43"/>
      <c r="AF50" s="101"/>
      <c r="AG50" s="48"/>
      <c r="AH50" s="47"/>
      <c r="AI50" s="43"/>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row>
    <row r="51" spans="1:67" x14ac:dyDescent="0.25">
      <c r="A51" s="196"/>
      <c r="B51" s="199"/>
      <c r="C51" s="199"/>
      <c r="D51" s="199"/>
      <c r="E51" s="202"/>
      <c r="F51" s="199"/>
      <c r="G51" s="205"/>
      <c r="H51" s="208"/>
      <c r="I51" s="190"/>
      <c r="J51" s="211"/>
      <c r="K51" s="208"/>
      <c r="L51" s="190"/>
      <c r="M51" s="193"/>
      <c r="N51" s="49"/>
      <c r="O51" s="141"/>
      <c r="P51" s="141"/>
      <c r="Q51" s="95" t="str">
        <f t="shared" si="52"/>
        <v/>
      </c>
      <c r="R51" s="45"/>
      <c r="S51" s="45"/>
      <c r="T51" s="96" t="str">
        <f t="shared" si="48"/>
        <v/>
      </c>
      <c r="U51" s="45"/>
      <c r="V51" s="45"/>
      <c r="W51" s="45"/>
      <c r="X51" s="97" t="str">
        <f t="shared" si="38"/>
        <v/>
      </c>
      <c r="Y51" s="98" t="str">
        <f>IFERROR(IF(AND(Q50="Probabilidad",Q51="Probabilidad"),(Y50-(+Y50*T51)),IF(AND(Q50="Impacto",Q51="Probabilidad"),(Y49-(+Y49*T51)),IF(Q51="Impacto",Y50,""))),"")</f>
        <v/>
      </c>
      <c r="Z51" s="97" t="str">
        <f t="shared" si="41"/>
        <v/>
      </c>
      <c r="AA51" s="98" t="str">
        <f t="shared" si="51"/>
        <v/>
      </c>
      <c r="AB51" s="99" t="str">
        <f t="shared" ref="AB51:AB52" si="53">IFERROR(IF(OR(AND(X51="Muy Baja",Z51="Leve"),AND(X51="Muy Baja",Z51="Menor"),AND(X51="Baja",Z51="Leve")),"Bajo",IF(OR(AND(X51="Muy baja",Z51="Moderado"),AND(X51="Baja",Z51="Menor"),AND(X51="Baja",Z51="Moderado"),AND(X51="Media",Z51="Leve"),AND(X51="Media",Z51="Menor"),AND(X51="Media",Z51="Moderado"),AND(X51="Alta",Z51="Leve"),AND(X51="Alta",Z51="Menor")),"Moderado",IF(OR(AND(X51="Muy Baja",Z51="Mayor"),AND(X51="Baja",Z51="Mayor"),AND(X51="Media",Z51="Mayor"),AND(X51="Alta",Z51="Moderado"),AND(X51="Alta",Z51="Mayor"),AND(X51="Muy Alta",Z51="Leve"),AND(X51="Muy Alta",Z51="Menor"),AND(X51="Muy Alta",Z51="Moderado"),AND(X51="Muy Alta",Z51="Mayor")),"Alto",IF(OR(AND(X51="Muy Baja",Z51="Catastrófico"),AND(X51="Baja",Z51="Catastrófico"),AND(X51="Media",Z51="Catastrófico"),AND(X51="Alta",Z51="Catastrófico"),AND(X51="Muy Alta",Z51="Catastrófico")),"Extremo","")))),"")</f>
        <v/>
      </c>
      <c r="AC51" s="46"/>
      <c r="AD51" s="47"/>
      <c r="AE51" s="43"/>
      <c r="AF51" s="101"/>
      <c r="AG51" s="48"/>
      <c r="AH51" s="47"/>
      <c r="AI51" s="43"/>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row>
    <row r="52" spans="1:67" x14ac:dyDescent="0.25">
      <c r="A52" s="197"/>
      <c r="B52" s="200"/>
      <c r="C52" s="200"/>
      <c r="D52" s="200"/>
      <c r="E52" s="203"/>
      <c r="F52" s="200"/>
      <c r="G52" s="206"/>
      <c r="H52" s="209"/>
      <c r="I52" s="191"/>
      <c r="J52" s="212"/>
      <c r="K52" s="209"/>
      <c r="L52" s="191"/>
      <c r="M52" s="194"/>
      <c r="N52" s="49"/>
      <c r="O52" s="141"/>
      <c r="P52" s="141"/>
      <c r="Q52" s="95" t="str">
        <f t="shared" si="52"/>
        <v/>
      </c>
      <c r="R52" s="45"/>
      <c r="S52" s="45"/>
      <c r="T52" s="96" t="str">
        <f t="shared" si="48"/>
        <v/>
      </c>
      <c r="U52" s="45"/>
      <c r="V52" s="45"/>
      <c r="W52" s="45"/>
      <c r="X52" s="97" t="str">
        <f t="shared" si="38"/>
        <v/>
      </c>
      <c r="Y52" s="98" t="str">
        <f>IFERROR(IF(AND(Q51="Probabilidad",Q52="Probabilidad"),(Y51-(+Y51*T52)),IF(AND(Q51="Impacto",Q52="Probabilidad"),(Y50-(+Y50*T52)),IF(Q52="Impacto",Y51,""))),"")</f>
        <v/>
      </c>
      <c r="Z52" s="97" t="str">
        <f t="shared" si="41"/>
        <v/>
      </c>
      <c r="AA52" s="98" t="str">
        <f t="shared" si="51"/>
        <v/>
      </c>
      <c r="AB52" s="99" t="str">
        <f t="shared" si="53"/>
        <v/>
      </c>
      <c r="AC52" s="46"/>
      <c r="AD52" s="47"/>
      <c r="AE52" s="43"/>
      <c r="AF52" s="101"/>
      <c r="AG52" s="48"/>
      <c r="AH52" s="47"/>
      <c r="AI52" s="43"/>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row>
    <row r="53" spans="1:67" ht="68.400000000000006" x14ac:dyDescent="0.25">
      <c r="A53" s="195">
        <v>8</v>
      </c>
      <c r="B53" s="198" t="s">
        <v>132</v>
      </c>
      <c r="C53" s="198" t="s">
        <v>316</v>
      </c>
      <c r="D53" s="198" t="s">
        <v>317</v>
      </c>
      <c r="E53" s="201" t="s">
        <v>318</v>
      </c>
      <c r="F53" s="198" t="s">
        <v>125</v>
      </c>
      <c r="G53" s="204">
        <v>365</v>
      </c>
      <c r="H53" s="207" t="str">
        <f>IF(G53&lt;=0,"",IF(G53&lt;=2,"Muy Baja",IF(G53&lt;=24,"Baja",IF(G53&lt;=500,"Media",IF(G53&lt;=5000,"Alta","Muy Alta")))))</f>
        <v>Media</v>
      </c>
      <c r="I53" s="189">
        <f>IF(H53="","",IF(H53="Muy Baja",0.2,IF(H53="Baja",0.4,IF(H53="Media",0.6,IF(H53="Alta",0.8,IF(H53="Muy Alta",1,))))))</f>
        <v>0.6</v>
      </c>
      <c r="J53" s="210" t="s">
        <v>152</v>
      </c>
      <c r="K53" s="207" t="str">
        <f>IF(OR(J53='Tabla Impacto'!$C$11,J53='Tabla Impacto'!$D$11),"Leve",IF(OR(J53='Tabla Impacto'!$C$12,J53='Tabla Impacto'!$D$12),"Menor",IF(OR(J53='Tabla Impacto'!$C$13,J53='Tabla Impacto'!$D$13),"Moderado",IF(OR(J53='Tabla Impacto'!$C$14,J53='Tabla Impacto'!$D$14),"Mayor",IF(OR(J53='Tabla Impacto'!$C$15,J53='Tabla Impacto'!$D$15),"Catastrófico","")))))</f>
        <v>Mayor</v>
      </c>
      <c r="L53" s="189">
        <f>IF(K53="","",IF(K53="Leve",0.2,IF(K53="Menor",0.4,IF(K53="Moderado",0.6,IF(K53="Mayor",0.8,IF(K53="Catastrófico",1,))))))</f>
        <v>0.8</v>
      </c>
      <c r="M53" s="192" t="str">
        <f>IF(OR(AND(H53="Muy Baja",K53="Leve"),AND(H53="Muy Baja",K53="Menor"),AND(H53="Baja",K53="Leve")),"Bajo",IF(OR(AND(H53="Muy baja",K53="Moderado"),AND(H53="Baja",K53="Menor"),AND(H53="Baja",K53="Moderado"),AND(H53="Media",K53="Leve"),AND(H53="Media",K53="Menor"),AND(H53="Media",K53="Moderado"),AND(H53="Alta",K53="Leve"),AND(H53="Alta",K53="Menor")),"Moderado",IF(OR(AND(H53="Muy Baja",K53="Mayor"),AND(H53="Baja",K53="Mayor"),AND(H53="Media",K53="Mayor"),AND(H53="Alta",K53="Moderado"),AND(H53="Alta",K53="Mayor"),AND(H53="Muy Alta",K53="Leve"),AND(H53="Muy Alta",K53="Menor"),AND(H53="Muy Alta",K53="Moderado"),AND(H53="Muy Alta",K53="Mayor")),"Alto",IF(OR(AND(H53="Muy Baja",K53="Catastrófico"),AND(H53="Baja",K53="Catastrófico"),AND(H53="Media",K53="Catastrófico"),AND(H53="Alta",K53="Catastrófico"),AND(H53="Muy Alta",K53="Catastrófico")),"Extremo",""))))</f>
        <v>Alto</v>
      </c>
      <c r="N53" s="49">
        <v>1</v>
      </c>
      <c r="O53" s="141" t="s">
        <v>319</v>
      </c>
      <c r="P53" s="47" t="s">
        <v>320</v>
      </c>
      <c r="Q53" s="95" t="s">
        <v>4</v>
      </c>
      <c r="R53" s="45" t="s">
        <v>14</v>
      </c>
      <c r="S53" s="45" t="s">
        <v>9</v>
      </c>
      <c r="T53" s="96" t="str">
        <f>IF(AND(R53="Preventivo",S53="Automático"),"50%",IF(AND(R53="Preventivo",S53="Manual"),"40%",IF(AND(R53="Detectivo",S53="Automático"),"40%",IF(AND(R53="Detectivo",S53="Manual"),"30%",IF(AND(R53="Correctivo",S53="Automático"),"35%",IF(AND(R53="Correctivo",S53="Manual"),"25%",""))))))</f>
        <v>40%</v>
      </c>
      <c r="U53" s="45" t="s">
        <v>19</v>
      </c>
      <c r="V53" s="45" t="s">
        <v>22</v>
      </c>
      <c r="W53" s="45" t="s">
        <v>117</v>
      </c>
      <c r="X53" s="97" t="str">
        <f t="shared" si="38"/>
        <v>Baja</v>
      </c>
      <c r="Y53" s="98">
        <f>IFERROR(IF(Q53="Probabilidad",(I53-(+I53*T53)),IF(Q53="Impacto",I53,"")),"")</f>
        <v>0.36</v>
      </c>
      <c r="Z53" s="97" t="str">
        <f>IFERROR(IF(AA53="","",IF(AA53&lt;=0.2,"Leve",IF(AA53&lt;=0.4,"Menor",IF(AA53&lt;=0.6,"Moderado",IF(AA53&lt;=0.8,"Mayor","Catastrófico"))))),"")</f>
        <v>Mayor</v>
      </c>
      <c r="AA53" s="98">
        <f t="shared" ref="AA53" si="54">IFERROR(IF(Q53="Impacto",(L53-(+L53*T53)),IF(Q53="Probabilidad",L53,"")),"")</f>
        <v>0.8</v>
      </c>
      <c r="AB53" s="99" t="str">
        <f>IFERROR(IF(OR(AND(X53="Muy Baja",Z53="Leve"),AND(X53="Muy Baja",Z53="Menor"),AND(X53="Baja",Z53="Leve")),"Bajo",IF(OR(AND(X53="Muy baja",Z53="Moderado"),AND(X53="Baja",Z53="Menor"),AND(X53="Baja",Z53="Moderado"),AND(X53="Media",Z53="Leve"),AND(X53="Media",Z53="Menor"),AND(X53="Media",Z53="Moderado"),AND(X53="Alta",Z53="Leve"),AND(X53="Alta",Z53="Menor")),"Moderado",IF(OR(AND(X53="Muy Baja",Z53="Mayor"),AND(X53="Baja",Z53="Mayor"),AND(X53="Media",Z53="Mayor"),AND(X53="Alta",Z53="Moderado"),AND(X53="Alta",Z53="Mayor"),AND(X53="Muy Alta",Z53="Leve"),AND(X53="Muy Alta",Z53="Menor"),AND(X53="Muy Alta",Z53="Moderado"),AND(X53="Muy Alta",Z53="Mayor")),"Alto",IF(OR(AND(X53="Muy Baja",Z53="Catastrófico"),AND(X53="Baja",Z53="Catastrófico"),AND(X53="Media",Z53="Catastrófico"),AND(X53="Alta",Z53="Catastrófico"),AND(X53="Muy Alta",Z53="Catastrófico")),"Extremo","")))),"")</f>
        <v>Alto</v>
      </c>
      <c r="AC53" s="46" t="s">
        <v>134</v>
      </c>
      <c r="AD53" s="141" t="s">
        <v>321</v>
      </c>
      <c r="AE53" s="47" t="s">
        <v>322</v>
      </c>
      <c r="AF53" s="47" t="s">
        <v>246</v>
      </c>
      <c r="AG53" s="47" t="s">
        <v>250</v>
      </c>
      <c r="AH53" s="47" t="s">
        <v>245</v>
      </c>
      <c r="AI53" s="47" t="s">
        <v>41</v>
      </c>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row>
    <row r="54" spans="1:67" ht="68.400000000000006" x14ac:dyDescent="0.25">
      <c r="A54" s="196"/>
      <c r="B54" s="199"/>
      <c r="C54" s="199"/>
      <c r="D54" s="199"/>
      <c r="E54" s="202"/>
      <c r="F54" s="199"/>
      <c r="G54" s="205"/>
      <c r="H54" s="208"/>
      <c r="I54" s="190"/>
      <c r="J54" s="211"/>
      <c r="K54" s="208"/>
      <c r="L54" s="190"/>
      <c r="M54" s="193"/>
      <c r="N54" s="49">
        <v>2</v>
      </c>
      <c r="O54" s="141" t="s">
        <v>265</v>
      </c>
      <c r="P54" s="141" t="s">
        <v>315</v>
      </c>
      <c r="Q54" s="95" t="s">
        <v>4</v>
      </c>
      <c r="R54" s="45" t="s">
        <v>14</v>
      </c>
      <c r="S54" s="45" t="s">
        <v>9</v>
      </c>
      <c r="T54" s="96" t="str">
        <f t="shared" ref="T54:T58" si="55">IF(AND(R54="Preventivo",S54="Automático"),"50%",IF(AND(R54="Preventivo",S54="Manual"),"40%",IF(AND(R54="Detectivo",S54="Automático"),"40%",IF(AND(R54="Detectivo",S54="Manual"),"30%",IF(AND(R54="Correctivo",S54="Automático"),"35%",IF(AND(R54="Correctivo",S54="Manual"),"25%",""))))))</f>
        <v>40%</v>
      </c>
      <c r="U54" s="45" t="s">
        <v>19</v>
      </c>
      <c r="V54" s="45" t="s">
        <v>22</v>
      </c>
      <c r="W54" s="45" t="s">
        <v>117</v>
      </c>
      <c r="X54" s="97" t="str">
        <f t="shared" si="38"/>
        <v>Baja</v>
      </c>
      <c r="Y54" s="98">
        <f>IFERROR(IF(AND(Q53="Probabilidad",Q54="Probabilidad"),(Y53-(+Y53*T54)),IF(Q54="Probabilidad",(I53-(+I53*T54)),IF(Q54="Impacto",Y53,""))),"")</f>
        <v>0.216</v>
      </c>
      <c r="Z54" s="97" t="str">
        <f t="shared" si="41"/>
        <v>Mayor</v>
      </c>
      <c r="AA54" s="98">
        <f t="shared" ref="AA54" si="56">IFERROR(IF(AND(Q53="Impacto",Q54="Impacto"),(AA53-(+AA53*T54)),IF(Q54="Impacto",(L53-(+L53*T54)),IF(Q54="Probabilidad",AA53,""))),"")</f>
        <v>0.8</v>
      </c>
      <c r="AB54" s="99" t="str">
        <f t="shared" ref="AB54:AB55" si="57">IFERROR(IF(OR(AND(X54="Muy Baja",Z54="Leve"),AND(X54="Muy Baja",Z54="Menor"),AND(X54="Baja",Z54="Leve")),"Bajo",IF(OR(AND(X54="Muy baja",Z54="Moderado"),AND(X54="Baja",Z54="Menor"),AND(X54="Baja",Z54="Moderado"),AND(X54="Media",Z54="Leve"),AND(X54="Media",Z54="Menor"),AND(X54="Media",Z54="Moderado"),AND(X54="Alta",Z54="Leve"),AND(X54="Alta",Z54="Menor")),"Moderado",IF(OR(AND(X54="Muy Baja",Z54="Mayor"),AND(X54="Baja",Z54="Mayor"),AND(X54="Media",Z54="Mayor"),AND(X54="Alta",Z54="Moderado"),AND(X54="Alta",Z54="Mayor"),AND(X54="Muy Alta",Z54="Leve"),AND(X54="Muy Alta",Z54="Menor"),AND(X54="Muy Alta",Z54="Moderado"),AND(X54="Muy Alta",Z54="Mayor")),"Alto",IF(OR(AND(X54="Muy Baja",Z54="Catastrófico"),AND(X54="Baja",Z54="Catastrófico"),AND(X54="Media",Z54="Catastrófico"),AND(X54="Alta",Z54="Catastrófico"),AND(X54="Muy Alta",Z54="Catastrófico")),"Extremo","")))),"")</f>
        <v>Alto</v>
      </c>
      <c r="AC54" s="46" t="s">
        <v>134</v>
      </c>
      <c r="AD54" s="47" t="s">
        <v>261</v>
      </c>
      <c r="AE54" s="43" t="s">
        <v>263</v>
      </c>
      <c r="AF54" s="101" t="s">
        <v>264</v>
      </c>
      <c r="AG54" s="48" t="s">
        <v>250</v>
      </c>
      <c r="AH54" s="47" t="s">
        <v>251</v>
      </c>
      <c r="AI54" s="43" t="s">
        <v>41</v>
      </c>
    </row>
    <row r="55" spans="1:67" x14ac:dyDescent="0.25">
      <c r="A55" s="196"/>
      <c r="B55" s="199"/>
      <c r="C55" s="199"/>
      <c r="D55" s="199"/>
      <c r="E55" s="202"/>
      <c r="F55" s="199"/>
      <c r="G55" s="205"/>
      <c r="H55" s="208"/>
      <c r="I55" s="190"/>
      <c r="J55" s="211"/>
      <c r="K55" s="208"/>
      <c r="L55" s="190"/>
      <c r="M55" s="193"/>
      <c r="N55" s="49">
        <v>3</v>
      </c>
      <c r="O55" s="44"/>
      <c r="P55" s="44"/>
      <c r="Q55" s="95" t="str">
        <f>IF(OR(R55="Preventivo",R55="Detectivo"),"Probabilidad",IF(R55="Correctivo","Impacto",""))</f>
        <v/>
      </c>
      <c r="R55" s="45"/>
      <c r="S55" s="45"/>
      <c r="T55" s="96" t="str">
        <f t="shared" si="55"/>
        <v/>
      </c>
      <c r="U55" s="45"/>
      <c r="V55" s="45"/>
      <c r="W55" s="45"/>
      <c r="X55" s="97" t="str">
        <f t="shared" si="38"/>
        <v/>
      </c>
      <c r="Y55" s="98" t="str">
        <f>IFERROR(IF(AND(Q54="Probabilidad",Q55="Probabilidad"),(Y54-(+Y54*T55)),IF(AND(Q54="Impacto",Q55="Probabilidad"),(Y53-(+Y53*T55)),IF(Q55="Impacto",Y54,""))),"")</f>
        <v/>
      </c>
      <c r="Z55" s="97" t="str">
        <f t="shared" si="41"/>
        <v/>
      </c>
      <c r="AA55" s="98" t="str">
        <f t="shared" ref="AA55:AA58" si="58">IFERROR(IF(AND(Q54="Impacto",Q55="Impacto"),(AA54-(+AA54*T55)),IF(AND(Q54="Probabilidad",Q55="Impacto"),(AA53-(+AA53*T55)),IF(Q55="Probabilidad",AA54,""))),"")</f>
        <v/>
      </c>
      <c r="AB55" s="99" t="str">
        <f t="shared" si="57"/>
        <v/>
      </c>
      <c r="AC55" s="46"/>
      <c r="AD55" s="47"/>
      <c r="AE55" s="43"/>
      <c r="AF55" s="101"/>
      <c r="AG55" s="48"/>
      <c r="AH55" s="47"/>
      <c r="AI55" s="43"/>
    </row>
    <row r="56" spans="1:67" x14ac:dyDescent="0.25">
      <c r="A56" s="196"/>
      <c r="B56" s="199"/>
      <c r="C56" s="199"/>
      <c r="D56" s="199"/>
      <c r="E56" s="202"/>
      <c r="F56" s="199"/>
      <c r="G56" s="205"/>
      <c r="H56" s="208"/>
      <c r="I56" s="190"/>
      <c r="J56" s="211"/>
      <c r="K56" s="208"/>
      <c r="L56" s="190"/>
      <c r="M56" s="193"/>
      <c r="N56" s="49">
        <v>4</v>
      </c>
      <c r="O56" s="141"/>
      <c r="P56" s="141"/>
      <c r="Q56" s="95" t="str">
        <f t="shared" ref="Q56:Q58" si="59">IF(OR(R56="Preventivo",R56="Detectivo"),"Probabilidad",IF(R56="Correctivo","Impacto",""))</f>
        <v/>
      </c>
      <c r="R56" s="45"/>
      <c r="S56" s="45"/>
      <c r="T56" s="96" t="str">
        <f t="shared" si="55"/>
        <v/>
      </c>
      <c r="U56" s="45"/>
      <c r="V56" s="45"/>
      <c r="W56" s="45"/>
      <c r="X56" s="97" t="str">
        <f t="shared" si="38"/>
        <v/>
      </c>
      <c r="Y56" s="98" t="str">
        <f>IFERROR(IF(AND(Q55="Probabilidad",Q56="Probabilidad"),(Y55-(+Y55*T56)),IF(AND(Q55="Impacto",Q56="Probabilidad"),(Y54-(+Y54*T56)),IF(Q56="Impacto",Y55,""))),"")</f>
        <v/>
      </c>
      <c r="Z56" s="97" t="str">
        <f t="shared" si="41"/>
        <v/>
      </c>
      <c r="AA56" s="98" t="str">
        <f t="shared" si="58"/>
        <v/>
      </c>
      <c r="AB56" s="99" t="str">
        <f>IFERROR(IF(OR(AND(X56="Muy Baja",Z56="Leve"),AND(X56="Muy Baja",Z56="Menor"),AND(X56="Baja",Z56="Leve")),"Bajo",IF(OR(AND(X56="Muy baja",Z56="Moderado"),AND(X56="Baja",Z56="Menor"),AND(X56="Baja",Z56="Moderado"),AND(X56="Media",Z56="Leve"),AND(X56="Media",Z56="Menor"),AND(X56="Media",Z56="Moderado"),AND(X56="Alta",Z56="Leve"),AND(X56="Alta",Z56="Menor")),"Moderado",IF(OR(AND(X56="Muy Baja",Z56="Mayor"),AND(X56="Baja",Z56="Mayor"),AND(X56="Media",Z56="Mayor"),AND(X56="Alta",Z56="Moderado"),AND(X56="Alta",Z56="Mayor"),AND(X56="Muy Alta",Z56="Leve"),AND(X56="Muy Alta",Z56="Menor"),AND(X56="Muy Alta",Z56="Moderado"),AND(X56="Muy Alta",Z56="Mayor")),"Alto",IF(OR(AND(X56="Muy Baja",Z56="Catastrófico"),AND(X56="Baja",Z56="Catastrófico"),AND(X56="Media",Z56="Catastrófico"),AND(X56="Alta",Z56="Catastrófico"),AND(X56="Muy Alta",Z56="Catastrófico")),"Extremo","")))),"")</f>
        <v/>
      </c>
      <c r="AC56" s="46"/>
      <c r="AD56" s="47"/>
      <c r="AE56" s="43"/>
      <c r="AF56" s="101"/>
      <c r="AG56" s="48"/>
      <c r="AH56" s="47"/>
      <c r="AI56" s="43"/>
    </row>
    <row r="57" spans="1:67" x14ac:dyDescent="0.25">
      <c r="A57" s="196"/>
      <c r="B57" s="199"/>
      <c r="C57" s="199"/>
      <c r="D57" s="199"/>
      <c r="E57" s="202"/>
      <c r="F57" s="199"/>
      <c r="G57" s="205"/>
      <c r="H57" s="208"/>
      <c r="I57" s="190"/>
      <c r="J57" s="211"/>
      <c r="K57" s="208"/>
      <c r="L57" s="190"/>
      <c r="M57" s="193"/>
      <c r="N57" s="49">
        <v>5</v>
      </c>
      <c r="O57" s="141"/>
      <c r="P57" s="141"/>
      <c r="Q57" s="95" t="str">
        <f t="shared" si="59"/>
        <v/>
      </c>
      <c r="R57" s="45"/>
      <c r="S57" s="45"/>
      <c r="T57" s="96" t="str">
        <f t="shared" si="55"/>
        <v/>
      </c>
      <c r="U57" s="45"/>
      <c r="V57" s="45"/>
      <c r="W57" s="45"/>
      <c r="X57" s="97" t="str">
        <f t="shared" si="38"/>
        <v/>
      </c>
      <c r="Y57" s="98" t="str">
        <f>IFERROR(IF(AND(Q56="Probabilidad",Q57="Probabilidad"),(Y56-(+Y56*T57)),IF(AND(Q56="Impacto",Q57="Probabilidad"),(Y55-(+Y55*T57)),IF(Q57="Impacto",Y56,""))),"")</f>
        <v/>
      </c>
      <c r="Z57" s="97" t="str">
        <f t="shared" si="41"/>
        <v/>
      </c>
      <c r="AA57" s="98" t="str">
        <f t="shared" si="58"/>
        <v/>
      </c>
      <c r="AB57" s="99" t="str">
        <f t="shared" ref="AB57:AB58" si="60">IFERROR(IF(OR(AND(X57="Muy Baja",Z57="Leve"),AND(X57="Muy Baja",Z57="Menor"),AND(X57="Baja",Z57="Leve")),"Bajo",IF(OR(AND(X57="Muy baja",Z57="Moderado"),AND(X57="Baja",Z57="Menor"),AND(X57="Baja",Z57="Moderado"),AND(X57="Media",Z57="Leve"),AND(X57="Media",Z57="Menor"),AND(X57="Media",Z57="Moderado"),AND(X57="Alta",Z57="Leve"),AND(X57="Alta",Z57="Menor")),"Moderado",IF(OR(AND(X57="Muy Baja",Z57="Mayor"),AND(X57="Baja",Z57="Mayor"),AND(X57="Media",Z57="Mayor"),AND(X57="Alta",Z57="Moderado"),AND(X57="Alta",Z57="Mayor"),AND(X57="Muy Alta",Z57="Leve"),AND(X57="Muy Alta",Z57="Menor"),AND(X57="Muy Alta",Z57="Moderado"),AND(X57="Muy Alta",Z57="Mayor")),"Alto",IF(OR(AND(X57="Muy Baja",Z57="Catastrófico"),AND(X57="Baja",Z57="Catastrófico"),AND(X57="Media",Z57="Catastrófico"),AND(X57="Alta",Z57="Catastrófico"),AND(X57="Muy Alta",Z57="Catastrófico")),"Extremo","")))),"")</f>
        <v/>
      </c>
      <c r="AC57" s="46"/>
      <c r="AD57" s="47"/>
      <c r="AE57" s="43"/>
      <c r="AF57" s="101"/>
      <c r="AG57" s="48"/>
      <c r="AH57" s="47"/>
      <c r="AI57" s="43"/>
    </row>
    <row r="58" spans="1:67" x14ac:dyDescent="0.25">
      <c r="A58" s="197"/>
      <c r="B58" s="200"/>
      <c r="C58" s="200"/>
      <c r="D58" s="200"/>
      <c r="E58" s="203"/>
      <c r="F58" s="200"/>
      <c r="G58" s="206"/>
      <c r="H58" s="209"/>
      <c r="I58" s="191"/>
      <c r="J58" s="212"/>
      <c r="K58" s="209"/>
      <c r="L58" s="191"/>
      <c r="M58" s="194"/>
      <c r="N58" s="49">
        <v>6</v>
      </c>
      <c r="O58" s="141"/>
      <c r="P58" s="141"/>
      <c r="Q58" s="95" t="str">
        <f t="shared" si="59"/>
        <v/>
      </c>
      <c r="R58" s="45"/>
      <c r="S58" s="45"/>
      <c r="T58" s="96" t="str">
        <f t="shared" si="55"/>
        <v/>
      </c>
      <c r="U58" s="45"/>
      <c r="V58" s="45"/>
      <c r="W58" s="45"/>
      <c r="X58" s="97" t="str">
        <f t="shared" si="38"/>
        <v/>
      </c>
      <c r="Y58" s="98" t="str">
        <f>IFERROR(IF(AND(Q57="Probabilidad",Q58="Probabilidad"),(Y57-(+Y57*T58)),IF(AND(Q57="Impacto",Q58="Probabilidad"),(Y56-(+Y56*T58)),IF(Q58="Impacto",Y57,""))),"")</f>
        <v/>
      </c>
      <c r="Z58" s="97" t="str">
        <f t="shared" si="41"/>
        <v/>
      </c>
      <c r="AA58" s="98" t="str">
        <f t="shared" si="58"/>
        <v/>
      </c>
      <c r="AB58" s="99" t="str">
        <f t="shared" si="60"/>
        <v/>
      </c>
      <c r="AC58" s="46"/>
      <c r="AD58" s="47"/>
      <c r="AE58" s="43"/>
      <c r="AF58" s="101"/>
      <c r="AG58" s="48"/>
      <c r="AH58" s="47"/>
      <c r="AI58" s="43"/>
    </row>
    <row r="59" spans="1:67" ht="49.5" customHeight="1" x14ac:dyDescent="0.25">
      <c r="A59" s="6"/>
      <c r="B59" s="186" t="s">
        <v>129</v>
      </c>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8"/>
    </row>
    <row r="61" spans="1:67" x14ac:dyDescent="0.25">
      <c r="A61" s="1"/>
      <c r="B61" s="22" t="s">
        <v>140</v>
      </c>
      <c r="C61" s="1"/>
      <c r="D61" s="1"/>
      <c r="F61" s="1"/>
    </row>
  </sheetData>
  <dataConsolidate/>
  <mergeCells count="147">
    <mergeCell ref="A8:F8"/>
    <mergeCell ref="G8:M8"/>
    <mergeCell ref="X8:AB9"/>
    <mergeCell ref="AC8:AI8"/>
    <mergeCell ref="B1:D3"/>
    <mergeCell ref="AG1:AH2"/>
    <mergeCell ref="AI1:AI2"/>
    <mergeCell ref="AG3:AI3"/>
    <mergeCell ref="E3:AF3"/>
    <mergeCell ref="E1:AF2"/>
    <mergeCell ref="M9:M10"/>
    <mergeCell ref="Q9:Q10"/>
    <mergeCell ref="R9:W9"/>
    <mergeCell ref="C5:M5"/>
    <mergeCell ref="A5:B5"/>
    <mergeCell ref="A6:B6"/>
    <mergeCell ref="A7:B7"/>
    <mergeCell ref="A9:A10"/>
    <mergeCell ref="C6:M6"/>
    <mergeCell ref="C7:M7"/>
    <mergeCell ref="N5:Q5"/>
    <mergeCell ref="N8:W8"/>
    <mergeCell ref="I9:I10"/>
    <mergeCell ref="K9:K10"/>
    <mergeCell ref="B9:B10"/>
    <mergeCell ref="J9:J10"/>
    <mergeCell ref="B11:B16"/>
    <mergeCell ref="C11:C16"/>
    <mergeCell ref="D11:D16"/>
    <mergeCell ref="E11:E16"/>
    <mergeCell ref="C9:C10"/>
    <mergeCell ref="M11:M16"/>
    <mergeCell ref="I11:I16"/>
    <mergeCell ref="J11:J16"/>
    <mergeCell ref="K11:K16"/>
    <mergeCell ref="L11:L16"/>
    <mergeCell ref="AD9:AD10"/>
    <mergeCell ref="AI9:AI10"/>
    <mergeCell ref="AH9:AH10"/>
    <mergeCell ref="AG9:AG10"/>
    <mergeCell ref="AF9:AF10"/>
    <mergeCell ref="AE9:AE10"/>
    <mergeCell ref="F9:F10"/>
    <mergeCell ref="E9:E10"/>
    <mergeCell ref="D9:D10"/>
    <mergeCell ref="AC9:AC10"/>
    <mergeCell ref="N9:N10"/>
    <mergeCell ref="O9:P9"/>
    <mergeCell ref="G9:G10"/>
    <mergeCell ref="H9:H10"/>
    <mergeCell ref="L9:L10"/>
    <mergeCell ref="A11:A16"/>
    <mergeCell ref="K17:K22"/>
    <mergeCell ref="L17:L22"/>
    <mergeCell ref="M17:M22"/>
    <mergeCell ref="F17:F22"/>
    <mergeCell ref="G17:G22"/>
    <mergeCell ref="H17:H22"/>
    <mergeCell ref="I17:I22"/>
    <mergeCell ref="J17:J22"/>
    <mergeCell ref="A17:A22"/>
    <mergeCell ref="B17:B22"/>
    <mergeCell ref="C17:C22"/>
    <mergeCell ref="D17:D22"/>
    <mergeCell ref="E17:E22"/>
    <mergeCell ref="F11:F16"/>
    <mergeCell ref="G11:G16"/>
    <mergeCell ref="H11:H16"/>
    <mergeCell ref="L23:L28"/>
    <mergeCell ref="M23:M28"/>
    <mergeCell ref="L29:L34"/>
    <mergeCell ref="M29:M34"/>
    <mergeCell ref="J35:J40"/>
    <mergeCell ref="K35:K40"/>
    <mergeCell ref="A23:A28"/>
    <mergeCell ref="B23:B28"/>
    <mergeCell ref="C23:C28"/>
    <mergeCell ref="A29:A34"/>
    <mergeCell ref="B29:B34"/>
    <mergeCell ref="C29:C34"/>
    <mergeCell ref="D29:D34"/>
    <mergeCell ref="E29:E34"/>
    <mergeCell ref="F29:F34"/>
    <mergeCell ref="D23:D28"/>
    <mergeCell ref="E23:E28"/>
    <mergeCell ref="J29:J34"/>
    <mergeCell ref="K29:K34"/>
    <mergeCell ref="F23:F28"/>
    <mergeCell ref="G23:G28"/>
    <mergeCell ref="H23:H28"/>
    <mergeCell ref="I23:I28"/>
    <mergeCell ref="J23:J28"/>
    <mergeCell ref="G29:G34"/>
    <mergeCell ref="H29:H34"/>
    <mergeCell ref="I29:I34"/>
    <mergeCell ref="K23:K28"/>
    <mergeCell ref="A41:A46"/>
    <mergeCell ref="B41:B46"/>
    <mergeCell ref="C41:C46"/>
    <mergeCell ref="D41:D46"/>
    <mergeCell ref="E41:E46"/>
    <mergeCell ref="A35:A40"/>
    <mergeCell ref="B35:B40"/>
    <mergeCell ref="C35:C40"/>
    <mergeCell ref="D35:D40"/>
    <mergeCell ref="E35:E40"/>
    <mergeCell ref="G47:G52"/>
    <mergeCell ref="H47:H52"/>
    <mergeCell ref="I47:I52"/>
    <mergeCell ref="L35:L40"/>
    <mergeCell ref="M35:M40"/>
    <mergeCell ref="F41:F46"/>
    <mergeCell ref="G41:G46"/>
    <mergeCell ref="H41:H46"/>
    <mergeCell ref="I41:I46"/>
    <mergeCell ref="J41:J46"/>
    <mergeCell ref="F35:F40"/>
    <mergeCell ref="G35:G40"/>
    <mergeCell ref="H35:H40"/>
    <mergeCell ref="I35:I40"/>
    <mergeCell ref="K41:K46"/>
    <mergeCell ref="L41:L46"/>
    <mergeCell ref="M41:M46"/>
    <mergeCell ref="B59:AI59"/>
    <mergeCell ref="L47:L52"/>
    <mergeCell ref="M47:M52"/>
    <mergeCell ref="A53:A58"/>
    <mergeCell ref="B53:B58"/>
    <mergeCell ref="C53:C58"/>
    <mergeCell ref="D53:D58"/>
    <mergeCell ref="E53:E58"/>
    <mergeCell ref="F53:F58"/>
    <mergeCell ref="G53:G58"/>
    <mergeCell ref="H53:H58"/>
    <mergeCell ref="I53:I58"/>
    <mergeCell ref="J53:J58"/>
    <mergeCell ref="K53:K58"/>
    <mergeCell ref="L53:L58"/>
    <mergeCell ref="M53:M58"/>
    <mergeCell ref="J47:J52"/>
    <mergeCell ref="K47:K52"/>
    <mergeCell ref="A47:A52"/>
    <mergeCell ref="B47:B52"/>
    <mergeCell ref="C47:C52"/>
    <mergeCell ref="D47:D52"/>
    <mergeCell ref="E47:E52"/>
    <mergeCell ref="F47:F52"/>
  </mergeCells>
  <conditionalFormatting sqref="K41 K47 K53">
    <cfRule type="cellIs" dxfId="192" priority="541" operator="equal">
      <formula>"Catastrófico"</formula>
    </cfRule>
    <cfRule type="cellIs" dxfId="191" priority="542" operator="equal">
      <formula>"Mayor"</formula>
    </cfRule>
    <cfRule type="cellIs" dxfId="190" priority="543" operator="equal">
      <formula>"Moderado"</formula>
    </cfRule>
    <cfRule type="cellIs" dxfId="189" priority="544" operator="equal">
      <formula>"Menor"</formula>
    </cfRule>
    <cfRule type="cellIs" dxfId="188" priority="545" operator="equal">
      <formula>"Leve"</formula>
    </cfRule>
  </conditionalFormatting>
  <conditionalFormatting sqref="X41:X58">
    <cfRule type="cellIs" dxfId="187" priority="532" operator="equal">
      <formula>"Muy Alta"</formula>
    </cfRule>
    <cfRule type="cellIs" dxfId="186" priority="533" operator="equal">
      <formula>"Alta"</formula>
    </cfRule>
    <cfRule type="cellIs" dxfId="185" priority="534" operator="equal">
      <formula>"Media"</formula>
    </cfRule>
    <cfRule type="cellIs" dxfId="184" priority="535" operator="equal">
      <formula>"Baja"</formula>
    </cfRule>
    <cfRule type="cellIs" dxfId="183" priority="536" operator="equal">
      <formula>"Muy Baja"</formula>
    </cfRule>
  </conditionalFormatting>
  <conditionalFormatting sqref="H47">
    <cfRule type="cellIs" dxfId="182" priority="280" operator="equal">
      <formula>"Muy Alta"</formula>
    </cfRule>
    <cfRule type="cellIs" dxfId="181" priority="281" operator="equal">
      <formula>"Alta"</formula>
    </cfRule>
    <cfRule type="cellIs" dxfId="180" priority="282" operator="equal">
      <formula>"Media"</formula>
    </cfRule>
    <cfRule type="cellIs" dxfId="179" priority="283" operator="equal">
      <formula>"Baja"</formula>
    </cfRule>
    <cfRule type="cellIs" dxfId="178" priority="284" operator="equal">
      <formula>"Muy Baja"</formula>
    </cfRule>
  </conditionalFormatting>
  <conditionalFormatting sqref="H41">
    <cfRule type="cellIs" dxfId="177" priority="308" operator="equal">
      <formula>"Muy Alta"</formula>
    </cfRule>
    <cfRule type="cellIs" dxfId="176" priority="309" operator="equal">
      <formula>"Alta"</formula>
    </cfRule>
    <cfRule type="cellIs" dxfId="175" priority="310" operator="equal">
      <formula>"Media"</formula>
    </cfRule>
    <cfRule type="cellIs" dxfId="174" priority="311" operator="equal">
      <formula>"Baja"</formula>
    </cfRule>
    <cfRule type="cellIs" dxfId="173" priority="312" operator="equal">
      <formula>"Muy Baja"</formula>
    </cfRule>
  </conditionalFormatting>
  <conditionalFormatting sqref="M41">
    <cfRule type="cellIs" dxfId="172" priority="299" operator="equal">
      <formula>"Extremo"</formula>
    </cfRule>
    <cfRule type="cellIs" dxfId="171" priority="300" operator="equal">
      <formula>"Alto"</formula>
    </cfRule>
    <cfRule type="cellIs" dxfId="170" priority="301" operator="equal">
      <formula>"Moderado"</formula>
    </cfRule>
    <cfRule type="cellIs" dxfId="169" priority="302" operator="equal">
      <formula>"Bajo"</formula>
    </cfRule>
  </conditionalFormatting>
  <conditionalFormatting sqref="Z41:Z46">
    <cfRule type="cellIs" dxfId="168" priority="289" operator="equal">
      <formula>"Catastrófico"</formula>
    </cfRule>
    <cfRule type="cellIs" dxfId="167" priority="290" operator="equal">
      <formula>"Mayor"</formula>
    </cfRule>
    <cfRule type="cellIs" dxfId="166" priority="291" operator="equal">
      <formula>"Moderado"</formula>
    </cfRule>
    <cfRule type="cellIs" dxfId="165" priority="292" operator="equal">
      <formula>"Menor"</formula>
    </cfRule>
    <cfRule type="cellIs" dxfId="164" priority="293" operator="equal">
      <formula>"Leve"</formula>
    </cfRule>
  </conditionalFormatting>
  <conditionalFormatting sqref="AB41:AB46">
    <cfRule type="cellIs" dxfId="163" priority="285" operator="equal">
      <formula>"Extremo"</formula>
    </cfRule>
    <cfRule type="cellIs" dxfId="162" priority="286" operator="equal">
      <formula>"Alto"</formula>
    </cfRule>
    <cfRule type="cellIs" dxfId="161" priority="287" operator="equal">
      <formula>"Moderado"</formula>
    </cfRule>
    <cfRule type="cellIs" dxfId="160" priority="288" operator="equal">
      <formula>"Bajo"</formula>
    </cfRule>
  </conditionalFormatting>
  <conditionalFormatting sqref="M47">
    <cfRule type="cellIs" dxfId="159" priority="271" operator="equal">
      <formula>"Extremo"</formula>
    </cfRule>
    <cfRule type="cellIs" dxfId="158" priority="272" operator="equal">
      <formula>"Alto"</formula>
    </cfRule>
    <cfRule type="cellIs" dxfId="157" priority="273" operator="equal">
      <formula>"Moderado"</formula>
    </cfRule>
    <cfRule type="cellIs" dxfId="156" priority="274" operator="equal">
      <formula>"Bajo"</formula>
    </cfRule>
  </conditionalFormatting>
  <conditionalFormatting sqref="Z47:Z52">
    <cfRule type="cellIs" dxfId="155" priority="261" operator="equal">
      <formula>"Catastrófico"</formula>
    </cfRule>
    <cfRule type="cellIs" dxfId="154" priority="262" operator="equal">
      <formula>"Mayor"</formula>
    </cfRule>
    <cfRule type="cellIs" dxfId="153" priority="263" operator="equal">
      <formula>"Moderado"</formula>
    </cfRule>
    <cfRule type="cellIs" dxfId="152" priority="264" operator="equal">
      <formula>"Menor"</formula>
    </cfRule>
    <cfRule type="cellIs" dxfId="151" priority="265" operator="equal">
      <formula>"Leve"</formula>
    </cfRule>
  </conditionalFormatting>
  <conditionalFormatting sqref="AB47:AB52">
    <cfRule type="cellIs" dxfId="150" priority="257" operator="equal">
      <formula>"Extremo"</formula>
    </cfRule>
    <cfRule type="cellIs" dxfId="149" priority="258" operator="equal">
      <formula>"Alto"</formula>
    </cfRule>
    <cfRule type="cellIs" dxfId="148" priority="259" operator="equal">
      <formula>"Moderado"</formula>
    </cfRule>
    <cfRule type="cellIs" dxfId="147" priority="260" operator="equal">
      <formula>"Bajo"</formula>
    </cfRule>
  </conditionalFormatting>
  <conditionalFormatting sqref="H53">
    <cfRule type="cellIs" dxfId="146" priority="252" operator="equal">
      <formula>"Muy Alta"</formula>
    </cfRule>
    <cfRule type="cellIs" dxfId="145" priority="253" operator="equal">
      <formula>"Alta"</formula>
    </cfRule>
    <cfRule type="cellIs" dxfId="144" priority="254" operator="equal">
      <formula>"Media"</formula>
    </cfRule>
    <cfRule type="cellIs" dxfId="143" priority="255" operator="equal">
      <formula>"Baja"</formula>
    </cfRule>
    <cfRule type="cellIs" dxfId="142" priority="256" operator="equal">
      <formula>"Muy Baja"</formula>
    </cfRule>
  </conditionalFormatting>
  <conditionalFormatting sqref="M53">
    <cfRule type="cellIs" dxfId="141" priority="243" operator="equal">
      <formula>"Extremo"</formula>
    </cfRule>
    <cfRule type="cellIs" dxfId="140" priority="244" operator="equal">
      <formula>"Alto"</formula>
    </cfRule>
    <cfRule type="cellIs" dxfId="139" priority="245" operator="equal">
      <formula>"Moderado"</formula>
    </cfRule>
    <cfRule type="cellIs" dxfId="138" priority="246" operator="equal">
      <formula>"Bajo"</formula>
    </cfRule>
  </conditionalFormatting>
  <conditionalFormatting sqref="Z53:Z58">
    <cfRule type="cellIs" dxfId="137" priority="233" operator="equal">
      <formula>"Catastrófico"</formula>
    </cfRule>
    <cfRule type="cellIs" dxfId="136" priority="234" operator="equal">
      <formula>"Mayor"</formula>
    </cfRule>
    <cfRule type="cellIs" dxfId="135" priority="235" operator="equal">
      <formula>"Moderado"</formula>
    </cfRule>
    <cfRule type="cellIs" dxfId="134" priority="236" operator="equal">
      <formula>"Menor"</formula>
    </cfRule>
    <cfRule type="cellIs" dxfId="133" priority="237" operator="equal">
      <formula>"Leve"</formula>
    </cfRule>
  </conditionalFormatting>
  <conditionalFormatting sqref="AB53:AB58">
    <cfRule type="cellIs" dxfId="132" priority="229" operator="equal">
      <formula>"Extremo"</formula>
    </cfRule>
    <cfRule type="cellIs" dxfId="131" priority="230" operator="equal">
      <formula>"Alto"</formula>
    </cfRule>
    <cfRule type="cellIs" dxfId="130" priority="231" operator="equal">
      <formula>"Moderado"</formula>
    </cfRule>
    <cfRule type="cellIs" dxfId="129" priority="232" operator="equal">
      <formula>"Bajo"</formula>
    </cfRule>
  </conditionalFormatting>
  <conditionalFormatting sqref="X23:X28">
    <cfRule type="cellIs" dxfId="128" priority="60" operator="equal">
      <formula>"Muy Alta"</formula>
    </cfRule>
    <cfRule type="cellIs" dxfId="127" priority="61" operator="equal">
      <formula>"Alta"</formula>
    </cfRule>
    <cfRule type="cellIs" dxfId="126" priority="62" operator="equal">
      <formula>"Media"</formula>
    </cfRule>
    <cfRule type="cellIs" dxfId="125" priority="63" operator="equal">
      <formula>"Baja"</formula>
    </cfRule>
    <cfRule type="cellIs" dxfId="124" priority="64" operator="equal">
      <formula>"Muy Baja"</formula>
    </cfRule>
  </conditionalFormatting>
  <conditionalFormatting sqref="K11">
    <cfRule type="cellIs" dxfId="123" priority="177" operator="equal">
      <formula>"Catastrófico"</formula>
    </cfRule>
    <cfRule type="cellIs" dxfId="122" priority="178" operator="equal">
      <formula>"Mayor"</formula>
    </cfRule>
    <cfRule type="cellIs" dxfId="121" priority="179" operator="equal">
      <formula>"Moderado"</formula>
    </cfRule>
    <cfRule type="cellIs" dxfId="120" priority="180" operator="equal">
      <formula>"Menor"</formula>
    </cfRule>
    <cfRule type="cellIs" dxfId="119" priority="181" operator="equal">
      <formula>"Leve"</formula>
    </cfRule>
  </conditionalFormatting>
  <conditionalFormatting sqref="X11:X16">
    <cfRule type="cellIs" dxfId="118" priority="172" operator="equal">
      <formula>"Muy Alta"</formula>
    </cfRule>
    <cfRule type="cellIs" dxfId="117" priority="173" operator="equal">
      <formula>"Alta"</formula>
    </cfRule>
    <cfRule type="cellIs" dxfId="116" priority="174" operator="equal">
      <formula>"Media"</formula>
    </cfRule>
    <cfRule type="cellIs" dxfId="115" priority="175" operator="equal">
      <formula>"Baja"</formula>
    </cfRule>
    <cfRule type="cellIs" dxfId="114" priority="176" operator="equal">
      <formula>"Muy Baja"</formula>
    </cfRule>
  </conditionalFormatting>
  <conditionalFormatting sqref="H11">
    <cfRule type="cellIs" dxfId="113" priority="167" operator="equal">
      <formula>"Muy Alta"</formula>
    </cfRule>
    <cfRule type="cellIs" dxfId="112" priority="168" operator="equal">
      <formula>"Alta"</formula>
    </cfRule>
    <cfRule type="cellIs" dxfId="111" priority="169" operator="equal">
      <formula>"Media"</formula>
    </cfRule>
    <cfRule type="cellIs" dxfId="110" priority="170" operator="equal">
      <formula>"Baja"</formula>
    </cfRule>
    <cfRule type="cellIs" dxfId="109" priority="171" operator="equal">
      <formula>"Muy Baja"</formula>
    </cfRule>
  </conditionalFormatting>
  <conditionalFormatting sqref="M11">
    <cfRule type="cellIs" dxfId="108" priority="163" operator="equal">
      <formula>"Extremo"</formula>
    </cfRule>
    <cfRule type="cellIs" dxfId="107" priority="164" operator="equal">
      <formula>"Alto"</formula>
    </cfRule>
    <cfRule type="cellIs" dxfId="106" priority="165" operator="equal">
      <formula>"Moderado"</formula>
    </cfRule>
    <cfRule type="cellIs" dxfId="105" priority="166" operator="equal">
      <formula>"Bajo"</formula>
    </cfRule>
  </conditionalFormatting>
  <conditionalFormatting sqref="Z11:Z16">
    <cfRule type="cellIs" dxfId="104" priority="158" operator="equal">
      <formula>"Catastrófico"</formula>
    </cfRule>
    <cfRule type="cellIs" dxfId="103" priority="159" operator="equal">
      <formula>"Mayor"</formula>
    </cfRule>
    <cfRule type="cellIs" dxfId="102" priority="160" operator="equal">
      <formula>"Moderado"</formula>
    </cfRule>
    <cfRule type="cellIs" dxfId="101" priority="161" operator="equal">
      <formula>"Menor"</formula>
    </cfRule>
    <cfRule type="cellIs" dxfId="100" priority="162" operator="equal">
      <formula>"Leve"</formula>
    </cfRule>
  </conditionalFormatting>
  <conditionalFormatting sqref="AB11:AB16">
    <cfRule type="cellIs" dxfId="99" priority="154" operator="equal">
      <formula>"Extremo"</formula>
    </cfRule>
    <cfRule type="cellIs" dxfId="98" priority="155" operator="equal">
      <formula>"Alto"</formula>
    </cfRule>
    <cfRule type="cellIs" dxfId="97" priority="156" operator="equal">
      <formula>"Moderado"</formula>
    </cfRule>
    <cfRule type="cellIs" dxfId="96" priority="157" operator="equal">
      <formula>"Bajo"</formula>
    </cfRule>
  </conditionalFormatting>
  <conditionalFormatting sqref="K17">
    <cfRule type="cellIs" dxfId="95" priority="149" operator="equal">
      <formula>"Catastrófico"</formula>
    </cfRule>
    <cfRule type="cellIs" dxfId="94" priority="150" operator="equal">
      <formula>"Mayor"</formula>
    </cfRule>
    <cfRule type="cellIs" dxfId="93" priority="151" operator="equal">
      <formula>"Moderado"</formula>
    </cfRule>
    <cfRule type="cellIs" dxfId="92" priority="152" operator="equal">
      <formula>"Menor"</formula>
    </cfRule>
    <cfRule type="cellIs" dxfId="91" priority="153" operator="equal">
      <formula>"Leve"</formula>
    </cfRule>
  </conditionalFormatting>
  <conditionalFormatting sqref="X17:X22">
    <cfRule type="cellIs" dxfId="90" priority="144" operator="equal">
      <formula>"Muy Alta"</formula>
    </cfRule>
    <cfRule type="cellIs" dxfId="89" priority="145" operator="equal">
      <formula>"Alta"</formula>
    </cfRule>
    <cfRule type="cellIs" dxfId="88" priority="146" operator="equal">
      <formula>"Media"</formula>
    </cfRule>
    <cfRule type="cellIs" dxfId="87" priority="147" operator="equal">
      <formula>"Baja"</formula>
    </cfRule>
    <cfRule type="cellIs" dxfId="86" priority="148" operator="equal">
      <formula>"Muy Baja"</formula>
    </cfRule>
  </conditionalFormatting>
  <conditionalFormatting sqref="H17">
    <cfRule type="cellIs" dxfId="85" priority="139" operator="equal">
      <formula>"Muy Alta"</formula>
    </cfRule>
    <cfRule type="cellIs" dxfId="84" priority="140" operator="equal">
      <formula>"Alta"</formula>
    </cfRule>
    <cfRule type="cellIs" dxfId="83" priority="141" operator="equal">
      <formula>"Media"</formula>
    </cfRule>
    <cfRule type="cellIs" dxfId="82" priority="142" operator="equal">
      <formula>"Baja"</formula>
    </cfRule>
    <cfRule type="cellIs" dxfId="81" priority="143" operator="equal">
      <formula>"Muy Baja"</formula>
    </cfRule>
  </conditionalFormatting>
  <conditionalFormatting sqref="M17">
    <cfRule type="cellIs" dxfId="80" priority="135" operator="equal">
      <formula>"Extremo"</formula>
    </cfRule>
    <cfRule type="cellIs" dxfId="79" priority="136" operator="equal">
      <formula>"Alto"</formula>
    </cfRule>
    <cfRule type="cellIs" dxfId="78" priority="137" operator="equal">
      <formula>"Moderado"</formula>
    </cfRule>
    <cfRule type="cellIs" dxfId="77" priority="138" operator="equal">
      <formula>"Bajo"</formula>
    </cfRule>
  </conditionalFormatting>
  <conditionalFormatting sqref="Z17:Z22">
    <cfRule type="cellIs" dxfId="76" priority="130" operator="equal">
      <formula>"Catastrófico"</formula>
    </cfRule>
    <cfRule type="cellIs" dxfId="75" priority="131" operator="equal">
      <formula>"Mayor"</formula>
    </cfRule>
    <cfRule type="cellIs" dxfId="74" priority="132" operator="equal">
      <formula>"Moderado"</formula>
    </cfRule>
    <cfRule type="cellIs" dxfId="73" priority="133" operator="equal">
      <formula>"Menor"</formula>
    </cfRule>
    <cfRule type="cellIs" dxfId="72" priority="134" operator="equal">
      <formula>"Leve"</formula>
    </cfRule>
  </conditionalFormatting>
  <conditionalFormatting sqref="AB17:AB22">
    <cfRule type="cellIs" dxfId="71" priority="126" operator="equal">
      <formula>"Extremo"</formula>
    </cfRule>
    <cfRule type="cellIs" dxfId="70" priority="127" operator="equal">
      <formula>"Alto"</formula>
    </cfRule>
    <cfRule type="cellIs" dxfId="69" priority="128" operator="equal">
      <formula>"Moderado"</formula>
    </cfRule>
    <cfRule type="cellIs" dxfId="68" priority="129" operator="equal">
      <formula>"Bajo"</formula>
    </cfRule>
  </conditionalFormatting>
  <conditionalFormatting sqref="K23">
    <cfRule type="cellIs" dxfId="67" priority="65" operator="equal">
      <formula>"Catastrófico"</formula>
    </cfRule>
    <cfRule type="cellIs" dxfId="66" priority="66" operator="equal">
      <formula>"Mayor"</formula>
    </cfRule>
    <cfRule type="cellIs" dxfId="65" priority="67" operator="equal">
      <formula>"Moderado"</formula>
    </cfRule>
    <cfRule type="cellIs" dxfId="64" priority="68" operator="equal">
      <formula>"Menor"</formula>
    </cfRule>
    <cfRule type="cellIs" dxfId="63" priority="69" operator="equal">
      <formula>"Leve"</formula>
    </cfRule>
  </conditionalFormatting>
  <conditionalFormatting sqref="H23">
    <cfRule type="cellIs" dxfId="62" priority="55" operator="equal">
      <formula>"Muy Alta"</formula>
    </cfRule>
    <cfRule type="cellIs" dxfId="61" priority="56" operator="equal">
      <formula>"Alta"</formula>
    </cfRule>
    <cfRule type="cellIs" dxfId="60" priority="57" operator="equal">
      <formula>"Media"</formula>
    </cfRule>
    <cfRule type="cellIs" dxfId="59" priority="58" operator="equal">
      <formula>"Baja"</formula>
    </cfRule>
    <cfRule type="cellIs" dxfId="58" priority="59" operator="equal">
      <formula>"Muy Baja"</formula>
    </cfRule>
  </conditionalFormatting>
  <conditionalFormatting sqref="M23">
    <cfRule type="cellIs" dxfId="57" priority="51" operator="equal">
      <formula>"Extremo"</formula>
    </cfRule>
    <cfRule type="cellIs" dxfId="56" priority="52" operator="equal">
      <formula>"Alto"</formula>
    </cfRule>
    <cfRule type="cellIs" dxfId="55" priority="53" operator="equal">
      <formula>"Moderado"</formula>
    </cfRule>
    <cfRule type="cellIs" dxfId="54" priority="54" operator="equal">
      <formula>"Bajo"</formula>
    </cfRule>
  </conditionalFormatting>
  <conditionalFormatting sqref="Z23:Z28">
    <cfRule type="cellIs" dxfId="53" priority="46" operator="equal">
      <formula>"Catastrófico"</formula>
    </cfRule>
    <cfRule type="cellIs" dxfId="52" priority="47" operator="equal">
      <formula>"Mayor"</formula>
    </cfRule>
    <cfRule type="cellIs" dxfId="51" priority="48" operator="equal">
      <formula>"Moderado"</formula>
    </cfRule>
    <cfRule type="cellIs" dxfId="50" priority="49" operator="equal">
      <formula>"Menor"</formula>
    </cfRule>
    <cfRule type="cellIs" dxfId="49" priority="50" operator="equal">
      <formula>"Leve"</formula>
    </cfRule>
  </conditionalFormatting>
  <conditionalFormatting sqref="AB23:AB28">
    <cfRule type="cellIs" dxfId="48" priority="42" operator="equal">
      <formula>"Extremo"</formula>
    </cfRule>
    <cfRule type="cellIs" dxfId="47" priority="43" operator="equal">
      <formula>"Alto"</formula>
    </cfRule>
    <cfRule type="cellIs" dxfId="46" priority="44" operator="equal">
      <formula>"Moderado"</formula>
    </cfRule>
    <cfRule type="cellIs" dxfId="45" priority="45" operator="equal">
      <formula>"Bajo"</formula>
    </cfRule>
  </conditionalFormatting>
  <conditionalFormatting sqref="H29 H35">
    <cfRule type="cellIs" dxfId="44" priority="37" operator="equal">
      <formula>"Muy Alta"</formula>
    </cfRule>
    <cfRule type="cellIs" dxfId="43" priority="38" operator="equal">
      <formula>"Alta"</formula>
    </cfRule>
    <cfRule type="cellIs" dxfId="42" priority="39" operator="equal">
      <formula>"Media"</formula>
    </cfRule>
    <cfRule type="cellIs" dxfId="41" priority="40" operator="equal">
      <formula>"Baja"</formula>
    </cfRule>
    <cfRule type="cellIs" dxfId="40" priority="41" operator="equal">
      <formula>"Muy Baja"</formula>
    </cfRule>
  </conditionalFormatting>
  <conditionalFormatting sqref="K29 K35">
    <cfRule type="cellIs" dxfId="39" priority="32" operator="equal">
      <formula>"Catastrófico"</formula>
    </cfRule>
    <cfRule type="cellIs" dxfId="38" priority="33" operator="equal">
      <formula>"Mayor"</formula>
    </cfRule>
    <cfRule type="cellIs" dxfId="37" priority="34" operator="equal">
      <formula>"Moderado"</formula>
    </cfRule>
    <cfRule type="cellIs" dxfId="36" priority="35" operator="equal">
      <formula>"Menor"</formula>
    </cfRule>
    <cfRule type="cellIs" dxfId="35" priority="36" operator="equal">
      <formula>"Leve"</formula>
    </cfRule>
  </conditionalFormatting>
  <conditionalFormatting sqref="M29">
    <cfRule type="cellIs" dxfId="34" priority="28" operator="equal">
      <formula>"Extremo"</formula>
    </cfRule>
    <cfRule type="cellIs" dxfId="33" priority="29" operator="equal">
      <formula>"Alto"</formula>
    </cfRule>
    <cfRule type="cellIs" dxfId="32" priority="30" operator="equal">
      <formula>"Moderado"</formula>
    </cfRule>
    <cfRule type="cellIs" dxfId="31" priority="31" operator="equal">
      <formula>"Bajo"</formula>
    </cfRule>
  </conditionalFormatting>
  <conditionalFormatting sqref="X29:X40">
    <cfRule type="cellIs" dxfId="30" priority="23" operator="equal">
      <formula>"Muy Alta"</formula>
    </cfRule>
    <cfRule type="cellIs" dxfId="29" priority="24" operator="equal">
      <formula>"Alta"</formula>
    </cfRule>
    <cfRule type="cellIs" dxfId="28" priority="25" operator="equal">
      <formula>"Media"</formula>
    </cfRule>
    <cfRule type="cellIs" dxfId="27" priority="26" operator="equal">
      <formula>"Baja"</formula>
    </cfRule>
    <cfRule type="cellIs" dxfId="26" priority="27" operator="equal">
      <formula>"Muy Baja"</formula>
    </cfRule>
  </conditionalFormatting>
  <conditionalFormatting sqref="Z29:Z34">
    <cfRule type="cellIs" dxfId="25" priority="18" operator="equal">
      <formula>"Catastrófico"</formula>
    </cfRule>
    <cfRule type="cellIs" dxfId="24" priority="19" operator="equal">
      <formula>"Mayor"</formula>
    </cfRule>
    <cfRule type="cellIs" dxfId="23" priority="20" operator="equal">
      <formula>"Moderado"</formula>
    </cfRule>
    <cfRule type="cellIs" dxfId="22" priority="21" operator="equal">
      <formula>"Menor"</formula>
    </cfRule>
    <cfRule type="cellIs" dxfId="21" priority="22" operator="equal">
      <formula>"Leve"</formula>
    </cfRule>
  </conditionalFormatting>
  <conditionalFormatting sqref="AB29:AB34">
    <cfRule type="cellIs" dxfId="20" priority="14" operator="equal">
      <formula>"Extremo"</formula>
    </cfRule>
    <cfRule type="cellIs" dxfId="19" priority="15" operator="equal">
      <formula>"Alto"</formula>
    </cfRule>
    <cfRule type="cellIs" dxfId="18" priority="16" operator="equal">
      <formula>"Moderado"</formula>
    </cfRule>
    <cfRule type="cellIs" dxfId="17" priority="17" operator="equal">
      <formula>"Bajo"</formula>
    </cfRule>
  </conditionalFormatting>
  <conditionalFormatting sqref="M35">
    <cfRule type="cellIs" dxfId="16" priority="10" operator="equal">
      <formula>"Extremo"</formula>
    </cfRule>
    <cfRule type="cellIs" dxfId="15" priority="11" operator="equal">
      <formula>"Alto"</formula>
    </cfRule>
    <cfRule type="cellIs" dxfId="14" priority="12" operator="equal">
      <formula>"Moderado"</formula>
    </cfRule>
    <cfRule type="cellIs" dxfId="13" priority="13" operator="equal">
      <formula>"Bajo"</formula>
    </cfRule>
  </conditionalFormatting>
  <conditionalFormatting sqref="Z35:Z40">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B35:AB40">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14:formula1>
            <xm:f>'Tabla Valoración controles'!$D$7:$D$8</xm:f>
          </x14:formula1>
          <xm:sqref>S11:S22 S41:S58</xm:sqref>
        </x14:dataValidation>
        <x14:dataValidation type="list" allowBlank="1" showInputMessage="1" showErrorMessage="1">
          <x14:formula1>
            <xm:f>'Tabla Valoración controles'!$D$9:$D$10</xm:f>
          </x14:formula1>
          <xm:sqref>U11:U22 U41:U58</xm:sqref>
        </x14:dataValidation>
        <x14:dataValidation type="list" allowBlank="1" showInputMessage="1" showErrorMessage="1">
          <x14:formula1>
            <xm:f>'Tabla Valoración controles'!$D$11:$D$12</xm:f>
          </x14:formula1>
          <xm:sqref>V11:V22 V41:V58</xm:sqref>
        </x14:dataValidation>
        <x14:dataValidation type="list" allowBlank="1" showInputMessage="1" showErrorMessage="1">
          <x14:formula1>
            <xm:f>'Opciones Tratamiento'!$B$9:$B$10</xm:f>
          </x14:formula1>
          <xm:sqref>AI33:AI34 AI44:AI45 AI27:AI28 AI50:AI51 AI48 AI56:AI57 AI13:AI22 AI54</xm:sqref>
        </x14:dataValidation>
        <x14:dataValidation type="list" allowBlank="1" showInputMessage="1" showErrorMessage="1">
          <x14:formula1>
            <xm:f>'Tabla Valoración controles'!$D$13:$D$14</xm:f>
          </x14:formula1>
          <xm:sqref>W11:W22 W41:W58</xm:sqref>
        </x14:dataValidation>
        <x14:dataValidation type="list" allowBlank="1" showInputMessage="1" showErrorMessage="1">
          <x14:formula1>
            <xm:f>'Opciones Tratamiento'!$B$13:$B$19</xm:f>
          </x14:formula1>
          <xm:sqref>F41:F58</xm:sqref>
        </x14:dataValidation>
        <x14:dataValidation type="list" allowBlank="1" showInputMessage="1" showErrorMessage="1">
          <x14:formula1>
            <xm:f>'Opciones Tratamiento'!$B$2:$B$5</xm:f>
          </x14:formula1>
          <xm:sqref>AC11:AC22 AC41:AC58</xm:sqref>
        </x14:dataValidation>
        <x14:dataValidation type="custom" allowBlank="1" showInputMessage="1" showErrorMessage="1" error="Recuerde que las acciones se generan bajo la medida de mitigar el riesgo">
          <x14:formula1>
            <xm:f>IF(OR(AC13='Opciones Tratamiento'!$B$2,AC13='Opciones Tratamiento'!$B$3,AC13='Opciones Tratamiento'!$B$4),ISBLANK(AC13),ISTEXT(AC13))</xm:f>
          </x14:formula1>
          <xm:sqref>AD13:AD22 AD41:AD52 AD54:AD58</xm:sqref>
        </x14:dataValidation>
        <x14:dataValidation type="custom" allowBlank="1" showInputMessage="1" showErrorMessage="1" error="Recuerde que las acciones se generan bajo la medida de mitigar el riesgo">
          <x14:formula1>
            <xm:f>IF(OR(AC13='Opciones Tratamiento'!$B$2,AC13='Opciones Tratamiento'!$B$3,AC13='Opciones Tratamiento'!$B$4),ISBLANK(AC13),ISTEXT(AC13))</xm:f>
          </x14:formula1>
          <xm:sqref>AE13:AE22 AE43:AE46 AE48:AE52 AE54:AE58</xm:sqref>
        </x14:dataValidation>
        <x14:dataValidation type="custom" allowBlank="1" showInputMessage="1" showErrorMessage="1" error="Recuerde que las acciones se generan bajo la medida de mitigar el riesgo">
          <x14:formula1>
            <xm:f>IF(OR(AC13='Opciones Tratamiento'!$B$2,AC13='Opciones Tratamiento'!$B$3,AC13='Opciones Tratamiento'!$B$4),ISBLANK(AC13),ISTEXT(AC13))</xm:f>
          </x14:formula1>
          <xm:sqref>AF13:AF22 AF43:AF46 AF48:AF52 AF54:AF58</xm:sqref>
        </x14:dataValidation>
        <x14:dataValidation type="custom" allowBlank="1" showInputMessage="1" showErrorMessage="1" error="Recuerde que las acciones se generan bajo la medida de mitigar el riesgo">
          <x14:formula1>
            <xm:f>IF(OR(AC13='Opciones Tratamiento'!$B$2,AC13='Opciones Tratamiento'!$B$3,AC13='Opciones Tratamiento'!$B$4),ISBLANK(AC13),ISTEXT(AC13))</xm:f>
          </x14:formula1>
          <xm:sqref>AG13:AG22 AG43:AG46 AG48:AG52 AG54:AG58</xm:sqref>
        </x14:dataValidation>
        <x14:dataValidation type="custom" allowBlank="1" showInputMessage="1" showErrorMessage="1" error="Recuerde que las acciones se generan bajo la medida de mitigar el riesgo">
          <x14:formula1>
            <xm:f>IF(OR(AC13='Opciones Tratamiento'!$B$2,AC13='Opciones Tratamiento'!$B$3,AC13='Opciones Tratamiento'!$B$4),ISBLANK(AC13),ISTEXT(AC13))</xm:f>
          </x14:formula1>
          <xm:sqref>AH13:AH22 AH43:AH46 AH48:AH52 AH54:AH58</xm:sqref>
        </x14:dataValidation>
        <x14:dataValidation type="custom" allowBlank="1" showInputMessage="1" showErrorMessage="1" error="Recuerde que las acciones se generan bajo la medida de mitigar el riesgo">
          <x14:formula1>
            <xm:f>IF(OR(AC27='C:\Users\samsung\Documents\Serviciudad\Laboral 2\Matrices\[Matriz_mapa_riesgos Acueducto OK.xlsx]Opciones Tratamiento'!#REF!,AC27='C:\Users\samsung\Documents\Serviciudad\Laboral 2\Matrices\[Matriz_mapa_riesgos Acueducto OK.xlsx]Opciones Tratamiento'!#REF!,AC27='C:\Users\samsung\Documents\Serviciudad\Laboral 2\Matrices\[Matriz_mapa_riesgos Acueducto OK.xlsx]Opciones Tratamiento'!#REF!),ISBLANK(AC27),ISTEXT(AC27))</xm:f>
          </x14:formula1>
          <xm:sqref>AH33:AH34 AH27:AH28 AH39:AH40</xm:sqref>
        </x14:dataValidation>
        <x14:dataValidation type="custom" allowBlank="1" showInputMessage="1" showErrorMessage="1" error="Recuerde que las acciones se generan bajo la medida de mitigar el riesgo">
          <x14:formula1>
            <xm:f>IF(OR(AC27='C:\Users\samsung\Documents\Serviciudad\Laboral 2\Matrices\[Matriz_mapa_riesgos Acueducto OK.xlsx]Opciones Tratamiento'!#REF!,AC27='C:\Users\samsung\Documents\Serviciudad\Laboral 2\Matrices\[Matriz_mapa_riesgos Acueducto OK.xlsx]Opciones Tratamiento'!#REF!,AC27='C:\Users\samsung\Documents\Serviciudad\Laboral 2\Matrices\[Matriz_mapa_riesgos Acueducto OK.xlsx]Opciones Tratamiento'!#REF!),ISBLANK(AC27),ISTEXT(AC27))</xm:f>
          </x14:formula1>
          <xm:sqref>AG33:AG34 AG27:AG28 AG39:AG40</xm:sqref>
        </x14:dataValidation>
        <x14:dataValidation type="custom" allowBlank="1" showInputMessage="1" showErrorMessage="1" error="Recuerde que las acciones se generan bajo la medida de mitigar el riesgo">
          <x14:formula1>
            <xm:f>IF(OR(AC27='C:\Users\samsung\Documents\Serviciudad\Laboral 2\Matrices\[Matriz_mapa_riesgos Acueducto OK.xlsx]Opciones Tratamiento'!#REF!,AC27='C:\Users\samsung\Documents\Serviciudad\Laboral 2\Matrices\[Matriz_mapa_riesgos Acueducto OK.xlsx]Opciones Tratamiento'!#REF!,AC27='C:\Users\samsung\Documents\Serviciudad\Laboral 2\Matrices\[Matriz_mapa_riesgos Acueducto OK.xlsx]Opciones Tratamiento'!#REF!),ISBLANK(AC27),ISTEXT(AC27))</xm:f>
          </x14:formula1>
          <xm:sqref>AF27:AF28 AF33:AF34 AF39:AF40</xm:sqref>
        </x14:dataValidation>
        <x14:dataValidation type="custom" allowBlank="1" showInputMessage="1" showErrorMessage="1" error="Recuerde que las acciones se generan bajo la medida de mitigar el riesgo">
          <x14:formula1>
            <xm:f>IF(OR(AC27='C:\Users\samsung\Documents\Serviciudad\Laboral 2\Matrices\[Matriz_mapa_riesgos Acueducto OK.xlsx]Opciones Tratamiento'!#REF!,AC27='C:\Users\samsung\Documents\Serviciudad\Laboral 2\Matrices\[Matriz_mapa_riesgos Acueducto OK.xlsx]Opciones Tratamiento'!#REF!,AC27='C:\Users\samsung\Documents\Serviciudad\Laboral 2\Matrices\[Matriz_mapa_riesgos Acueducto OK.xlsx]Opciones Tratamiento'!#REF!),ISBLANK(AC27),ISTEXT(AC27))</xm:f>
          </x14:formula1>
          <xm:sqref>AE27:AE28 AE33:AE34 AE39:AE40</xm:sqref>
        </x14:dataValidation>
        <x14:dataValidation type="custom" allowBlank="1" showInputMessage="1" showErrorMessage="1" error="Recuerde que las acciones se generan bajo la medida de mitigar el riesgo">
          <x14:formula1>
            <xm:f>IF(OR(AC28='C:\Users\samsung\Documents\Serviciudad\Laboral 2\Matrices\[Matriz_mapa_riesgos Acueducto OK.xlsx]Opciones Tratamiento'!#REF!,AC28='C:\Users\samsung\Documents\Serviciudad\Laboral 2\Matrices\[Matriz_mapa_riesgos Acueducto OK.xlsx]Opciones Tratamiento'!#REF!,AC28='C:\Users\samsung\Documents\Serviciudad\Laboral 2\Matrices\[Matriz_mapa_riesgos Acueducto OK.xlsx]Opciones Tratamiento'!#REF!),ISBLANK(AC28),ISTEXT(AC28))</xm:f>
          </x14:formula1>
          <xm:sqref>AD33:AD34 AD28 AD39:AD40</xm:sqref>
        </x14:dataValidation>
        <x14:dataValidation type="list" allowBlank="1" showInputMessage="1" showErrorMessage="1">
          <x14:formula1>
            <xm:f>'C:\Users\samsung\Documents\Serviciudad\Laboral 2\Matrices\[Matriz_mapa_riesgos Acueducto OK.xlsx]Opciones Tratamiento'!#REF!</xm:f>
          </x14:formula1>
          <xm:sqref>AI39 AC23:AC40</xm:sqref>
        </x14:dataValidation>
        <x14:dataValidation type="list" allowBlank="1" showInputMessage="1" showErrorMessage="1">
          <x14:formula1>
            <xm:f>'Tabla Valoración controles'!$D$4:$D$6</xm:f>
          </x14:formula1>
          <xm:sqref>R11:R58</xm:sqref>
        </x14:dataValidation>
        <x14:dataValidation type="list" allowBlank="1" showInputMessage="1" showErrorMessage="1">
          <x14:formula1>
            <xm:f>'Opciones Tratamiento'!$E$2:$E$4</xm:f>
          </x14:formula1>
          <xm:sqref>B11:B58</xm:sqref>
        </x14:dataValidation>
        <x14:dataValidation type="list" allowBlank="1" showInputMessage="1" showErrorMessage="1">
          <x14:formula1>
            <xm:f>'C:\Users\samsung\Documents\Serviciudad\Laboral 2\Matrices\[Matriz_mapa_riesgos Acueducto OK.xlsx]Tabla Valoración controles'!#REF!</xm:f>
          </x14:formula1>
          <xm:sqref>S23:S40 U23:W40</xm:sqref>
        </x14:dataValidation>
        <x14:dataValidation type="list" allowBlank="1" showInputMessage="1" showErrorMessage="1">
          <x14:formula1>
            <xm:f>'Opciones Tratamiento'!$B$13:$B$20</xm:f>
          </x14:formula1>
          <xm:sqref>F11:F40</xm:sqref>
        </x14:dataValidation>
        <x14:dataValidation type="list" allowBlank="1" showInputMessage="1" showErrorMessage="1">
          <x14:formula1>
            <xm:f>'Opciones Tratamiento'!$B$22:$B$31</xm:f>
          </x14:formula1>
          <xm:sqref>J11:J58</xm:sqref>
        </x14:dataValidation>
        <x14:dataValidation type="custom" allowBlank="1" showInputMessage="1" showErrorMessage="1" error="Recuerde que las acciones se generan bajo la medida de mitigar el riesgo">
          <x14:formula1>
            <xm:f>IF(OR(AC53='Opciones Tratamiento'!$B$2,AC53='Opciones Tratamiento'!$B$3,AC53='Opciones Tratamiento'!$B$4),ISBLANK(AC53),ISTEXT(AC53))</xm:f>
          </x14:formula1>
          <xm:sqref>P53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39"/>
  <sheetViews>
    <sheetView zoomScale="40" zoomScaleNormal="40" workbookViewId="0">
      <selection activeCell="AD23" sqref="AD23:AE24"/>
    </sheetView>
  </sheetViews>
  <sheetFormatPr baseColWidth="10" defaultRowHeight="14.4" x14ac:dyDescent="0.3"/>
  <cols>
    <col min="2" max="39" width="5.6640625" customWidth="1"/>
    <col min="41" max="46" width="5.6640625" customWidth="1"/>
  </cols>
  <sheetData>
    <row r="1" spans="1:99" x14ac:dyDescent="0.3">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row>
    <row r="2" spans="1:99" ht="18" customHeight="1" x14ac:dyDescent="0.3">
      <c r="A2" s="50"/>
      <c r="B2" s="344" t="s">
        <v>157</v>
      </c>
      <c r="C2" s="344"/>
      <c r="D2" s="344"/>
      <c r="E2" s="344"/>
      <c r="F2" s="344"/>
      <c r="G2" s="344"/>
      <c r="H2" s="344"/>
      <c r="I2" s="344"/>
      <c r="J2" s="311" t="s">
        <v>2</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row>
    <row r="3" spans="1:99" ht="18.75" customHeight="1" x14ac:dyDescent="0.3">
      <c r="A3" s="50"/>
      <c r="B3" s="344"/>
      <c r="C3" s="344"/>
      <c r="D3" s="344"/>
      <c r="E3" s="344"/>
      <c r="F3" s="344"/>
      <c r="G3" s="344"/>
      <c r="H3" s="344"/>
      <c r="I3" s="344"/>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row>
    <row r="4" spans="1:99" ht="15" customHeight="1" thickBot="1" x14ac:dyDescent="0.35">
      <c r="A4" s="50"/>
      <c r="B4" s="344"/>
      <c r="C4" s="344"/>
      <c r="D4" s="344"/>
      <c r="E4" s="344"/>
      <c r="F4" s="344"/>
      <c r="G4" s="344"/>
      <c r="H4" s="344"/>
      <c r="I4" s="344"/>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row>
    <row r="5" spans="1:99" ht="15" customHeight="1" x14ac:dyDescent="0.3">
      <c r="A5" s="50"/>
      <c r="B5" s="257" t="s">
        <v>4</v>
      </c>
      <c r="C5" s="257"/>
      <c r="D5" s="258"/>
      <c r="E5" s="295" t="s">
        <v>114</v>
      </c>
      <c r="F5" s="296"/>
      <c r="G5" s="296"/>
      <c r="H5" s="296"/>
      <c r="I5" s="297"/>
      <c r="J5" s="307" t="str">
        <f>IF(AND('Mapa final'!$H$11="Muy Alta",'Mapa final'!$K$11="Leve"),CONCATENATE("R",'Mapa final'!$A$11),"")</f>
        <v/>
      </c>
      <c r="K5" s="308"/>
      <c r="L5" s="308" t="str">
        <f>IF(AND('Mapa final'!$H$17="Muy Alta",'Mapa final'!$K$17="Leve"),CONCATENATE("R",'Mapa final'!$A$17),"")</f>
        <v/>
      </c>
      <c r="M5" s="308"/>
      <c r="N5" s="308" t="e">
        <f>IF(AND('Mapa final'!#REF!="Muy Alta",'Mapa final'!#REF!="Leve"),CONCATENATE("R",'Mapa final'!#REF!),"")</f>
        <v>#REF!</v>
      </c>
      <c r="O5" s="310"/>
      <c r="P5" s="307" t="str">
        <f>IF(AND('Mapa final'!$H$11="Muy Alta",'Mapa final'!$K$11="Menor"),CONCATENATE("R",'Mapa final'!$A$11),"")</f>
        <v/>
      </c>
      <c r="Q5" s="308"/>
      <c r="R5" s="308" t="str">
        <f>IF(AND('Mapa final'!$H$17="Muy Alta",'Mapa final'!$K$17="Menor"),CONCATENATE("R",'Mapa final'!$A$17),"")</f>
        <v/>
      </c>
      <c r="S5" s="308"/>
      <c r="T5" s="308" t="e">
        <f>IF(AND('Mapa final'!#REF!="Muy Alta",'Mapa final'!#REF!="Menor"),CONCATENATE("R",'Mapa final'!#REF!),"")</f>
        <v>#REF!</v>
      </c>
      <c r="U5" s="310"/>
      <c r="V5" s="307" t="str">
        <f>IF(AND('Mapa final'!$H$11="Muy Alta",'Mapa final'!$K$11="Moderado"),CONCATENATE("R",'Mapa final'!$A$11),"")</f>
        <v/>
      </c>
      <c r="W5" s="308"/>
      <c r="X5" s="308" t="str">
        <f>IF(AND('Mapa final'!$H$17="Muy Alta",'Mapa final'!$K$17="Moderado"),CONCATENATE("R",'Mapa final'!$A$17),"")</f>
        <v/>
      </c>
      <c r="Y5" s="308"/>
      <c r="Z5" s="308" t="e">
        <f>IF(AND('Mapa final'!#REF!="Muy Alta",'Mapa final'!#REF!="Moderado"),CONCATENATE("R",'Mapa final'!#REF!),"")</f>
        <v>#REF!</v>
      </c>
      <c r="AA5" s="310"/>
      <c r="AB5" s="307" t="str">
        <f>IF(AND('Mapa final'!$H$11="Muy Alta",'Mapa final'!$K$11="Mayor"),CONCATENATE("R",'Mapa final'!$A$11),"")</f>
        <v/>
      </c>
      <c r="AC5" s="308"/>
      <c r="AD5" s="308" t="str">
        <f>IF(AND('Mapa final'!$H$17="Muy Alta",'Mapa final'!$K$17="Mayor"),CONCATENATE("R",'Mapa final'!$A$17),"")</f>
        <v/>
      </c>
      <c r="AE5" s="308"/>
      <c r="AF5" s="308" t="e">
        <f>IF(AND('Mapa final'!#REF!="Muy Alta",'Mapa final'!#REF!="Mayor"),CONCATENATE("R",'Mapa final'!#REF!),"")</f>
        <v>#REF!</v>
      </c>
      <c r="AG5" s="310"/>
      <c r="AH5" s="323" t="str">
        <f>IF(AND('Mapa final'!$H$11="Muy Alta",'Mapa final'!$K$11="Catastrófico"),CONCATENATE("R",'Mapa final'!$A$11),"")</f>
        <v/>
      </c>
      <c r="AI5" s="324"/>
      <c r="AJ5" s="324" t="str">
        <f>IF(AND('Mapa final'!$H$17="Muy Alta",'Mapa final'!$K$17="Catastrófico"),CONCATENATE("R",'Mapa final'!$A$17),"")</f>
        <v/>
      </c>
      <c r="AK5" s="324"/>
      <c r="AL5" s="324" t="e">
        <f>IF(AND('Mapa final'!#REF!="Muy Alta",'Mapa final'!#REF!="Catastrófico"),CONCATENATE("R",'Mapa final'!#REF!),"")</f>
        <v>#REF!</v>
      </c>
      <c r="AM5" s="325"/>
      <c r="AO5" s="259" t="s">
        <v>78</v>
      </c>
      <c r="AP5" s="260"/>
      <c r="AQ5" s="260"/>
      <c r="AR5" s="260"/>
      <c r="AS5" s="260"/>
      <c r="AT5" s="261"/>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row>
    <row r="6" spans="1:99" ht="15" customHeight="1" x14ac:dyDescent="0.3">
      <c r="A6" s="50"/>
      <c r="B6" s="257"/>
      <c r="C6" s="257"/>
      <c r="D6" s="258"/>
      <c r="E6" s="298"/>
      <c r="F6" s="299"/>
      <c r="G6" s="299"/>
      <c r="H6" s="299"/>
      <c r="I6" s="300"/>
      <c r="J6" s="309"/>
      <c r="K6" s="306"/>
      <c r="L6" s="306"/>
      <c r="M6" s="306"/>
      <c r="N6" s="306"/>
      <c r="O6" s="305"/>
      <c r="P6" s="309"/>
      <c r="Q6" s="306"/>
      <c r="R6" s="306"/>
      <c r="S6" s="306"/>
      <c r="T6" s="306"/>
      <c r="U6" s="305"/>
      <c r="V6" s="309"/>
      <c r="W6" s="306"/>
      <c r="X6" s="306"/>
      <c r="Y6" s="306"/>
      <c r="Z6" s="306"/>
      <c r="AA6" s="305"/>
      <c r="AB6" s="309"/>
      <c r="AC6" s="306"/>
      <c r="AD6" s="306"/>
      <c r="AE6" s="306"/>
      <c r="AF6" s="306"/>
      <c r="AG6" s="305"/>
      <c r="AH6" s="317"/>
      <c r="AI6" s="318"/>
      <c r="AJ6" s="318"/>
      <c r="AK6" s="318"/>
      <c r="AL6" s="318"/>
      <c r="AM6" s="319"/>
      <c r="AN6" s="50"/>
      <c r="AO6" s="262"/>
      <c r="AP6" s="263"/>
      <c r="AQ6" s="263"/>
      <c r="AR6" s="263"/>
      <c r="AS6" s="263"/>
      <c r="AT6" s="264"/>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row>
    <row r="7" spans="1:99" ht="15" customHeight="1" x14ac:dyDescent="0.3">
      <c r="A7" s="50"/>
      <c r="B7" s="257"/>
      <c r="C7" s="257"/>
      <c r="D7" s="258"/>
      <c r="E7" s="298"/>
      <c r="F7" s="299"/>
      <c r="G7" s="299"/>
      <c r="H7" s="299"/>
      <c r="I7" s="300"/>
      <c r="J7" s="309" t="e">
        <f>IF(AND('Mapa final'!#REF!="Muy Alta",'Mapa final'!#REF!="Leve"),CONCATENATE("R",'Mapa final'!#REF!),"")</f>
        <v>#REF!</v>
      </c>
      <c r="K7" s="306"/>
      <c r="L7" s="304" t="str">
        <f>IF(AND('Mapa final'!$H$23="Muy Alta",'Mapa final'!$K$23="Leve"),CONCATENATE("R",'Mapa final'!$A$23),"")</f>
        <v/>
      </c>
      <c r="M7" s="304"/>
      <c r="N7" s="304" t="str">
        <f>IF(AND('Mapa final'!$H$29="Muy Alta",'Mapa final'!$K$29="Leve"),CONCATENATE("R",'Mapa final'!$A$29),"")</f>
        <v/>
      </c>
      <c r="O7" s="305"/>
      <c r="P7" s="309" t="e">
        <f>IF(AND('Mapa final'!#REF!="Muy Alta",'Mapa final'!#REF!="Menor"),CONCATENATE("R",'Mapa final'!#REF!),"")</f>
        <v>#REF!</v>
      </c>
      <c r="Q7" s="306"/>
      <c r="R7" s="304" t="str">
        <f>IF(AND('Mapa final'!$H$23="Muy Alta",'Mapa final'!$K$23="Menor"),CONCATENATE("R",'Mapa final'!$A$23),"")</f>
        <v/>
      </c>
      <c r="S7" s="304"/>
      <c r="T7" s="304" t="str">
        <f>IF(AND('Mapa final'!$H$29="Muy Alta",'Mapa final'!$K$29="Menor"),CONCATENATE("R",'Mapa final'!$A$29),"")</f>
        <v/>
      </c>
      <c r="U7" s="305"/>
      <c r="V7" s="309" t="e">
        <f>IF(AND('Mapa final'!#REF!="Muy Alta",'Mapa final'!#REF!="Moderado"),CONCATENATE("R",'Mapa final'!#REF!),"")</f>
        <v>#REF!</v>
      </c>
      <c r="W7" s="306"/>
      <c r="X7" s="304" t="str">
        <f>IF(AND('Mapa final'!$H$23="Muy Alta",'Mapa final'!$K$23="Moderado"),CONCATENATE("R",'Mapa final'!$A$23),"")</f>
        <v/>
      </c>
      <c r="Y7" s="304"/>
      <c r="Z7" s="304" t="str">
        <f>IF(AND('Mapa final'!$H$29="Muy Alta",'Mapa final'!$K$29="Moderado"),CONCATENATE("R",'Mapa final'!$A$29),"")</f>
        <v/>
      </c>
      <c r="AA7" s="305"/>
      <c r="AB7" s="309" t="e">
        <f>IF(AND('Mapa final'!#REF!="Muy Alta",'Mapa final'!#REF!="Mayor"),CONCATENATE("R",'Mapa final'!#REF!),"")</f>
        <v>#REF!</v>
      </c>
      <c r="AC7" s="306"/>
      <c r="AD7" s="304" t="str">
        <f>IF(AND('Mapa final'!$H$23="Muy Alta",'Mapa final'!$K$23="Mayor"),CONCATENATE("R",'Mapa final'!$A$23),"")</f>
        <v/>
      </c>
      <c r="AE7" s="304"/>
      <c r="AF7" s="304" t="str">
        <f>IF(AND('Mapa final'!$H$29="Muy Alta",'Mapa final'!$K$29="Mayor"),CONCATENATE("R",'Mapa final'!$A$29),"")</f>
        <v/>
      </c>
      <c r="AG7" s="305"/>
      <c r="AH7" s="317" t="e">
        <f>IF(AND('Mapa final'!#REF!="Muy Alta",'Mapa final'!#REF!="Catastrófico"),CONCATENATE("R",'Mapa final'!#REF!),"")</f>
        <v>#REF!</v>
      </c>
      <c r="AI7" s="318"/>
      <c r="AJ7" s="318" t="str">
        <f>IF(AND('Mapa final'!$H$23="Muy Alta",'Mapa final'!$K$23="Catastrófico"),CONCATENATE("R",'Mapa final'!$A$23),"")</f>
        <v/>
      </c>
      <c r="AK7" s="318"/>
      <c r="AL7" s="318" t="str">
        <f>IF(AND('Mapa final'!$H$29="Muy Alta",'Mapa final'!$K$29="Catastrófico"),CONCATENATE("R",'Mapa final'!$A$29),"")</f>
        <v/>
      </c>
      <c r="AM7" s="319"/>
      <c r="AN7" s="50"/>
      <c r="AO7" s="262"/>
      <c r="AP7" s="263"/>
      <c r="AQ7" s="263"/>
      <c r="AR7" s="263"/>
      <c r="AS7" s="263"/>
      <c r="AT7" s="264"/>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row>
    <row r="8" spans="1:99" ht="15" customHeight="1" x14ac:dyDescent="0.3">
      <c r="A8" s="50"/>
      <c r="B8" s="257"/>
      <c r="C8" s="257"/>
      <c r="D8" s="258"/>
      <c r="E8" s="298"/>
      <c r="F8" s="299"/>
      <c r="G8" s="299"/>
      <c r="H8" s="299"/>
      <c r="I8" s="300"/>
      <c r="J8" s="309"/>
      <c r="K8" s="306"/>
      <c r="L8" s="304"/>
      <c r="M8" s="304"/>
      <c r="N8" s="304"/>
      <c r="O8" s="305"/>
      <c r="P8" s="309"/>
      <c r="Q8" s="306"/>
      <c r="R8" s="304"/>
      <c r="S8" s="304"/>
      <c r="T8" s="304"/>
      <c r="U8" s="305"/>
      <c r="V8" s="309"/>
      <c r="W8" s="306"/>
      <c r="X8" s="304"/>
      <c r="Y8" s="304"/>
      <c r="Z8" s="304"/>
      <c r="AA8" s="305"/>
      <c r="AB8" s="309"/>
      <c r="AC8" s="306"/>
      <c r="AD8" s="304"/>
      <c r="AE8" s="304"/>
      <c r="AF8" s="304"/>
      <c r="AG8" s="305"/>
      <c r="AH8" s="317"/>
      <c r="AI8" s="318"/>
      <c r="AJ8" s="318"/>
      <c r="AK8" s="318"/>
      <c r="AL8" s="318"/>
      <c r="AM8" s="319"/>
      <c r="AN8" s="50"/>
      <c r="AO8" s="262"/>
      <c r="AP8" s="263"/>
      <c r="AQ8" s="263"/>
      <c r="AR8" s="263"/>
      <c r="AS8" s="263"/>
      <c r="AT8" s="264"/>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row>
    <row r="9" spans="1:99" ht="15" customHeight="1" x14ac:dyDescent="0.3">
      <c r="A9" s="50"/>
      <c r="B9" s="257"/>
      <c r="C9" s="257"/>
      <c r="D9" s="258"/>
      <c r="E9" s="298"/>
      <c r="F9" s="299"/>
      <c r="G9" s="299"/>
      <c r="H9" s="299"/>
      <c r="I9" s="300"/>
      <c r="J9" s="309" t="str">
        <f>IF(AND('Mapa final'!$H$35="Muy Alta",'Mapa final'!$K$35="Leve"),CONCATENATE("R",'Mapa final'!$A$35),"")</f>
        <v/>
      </c>
      <c r="K9" s="306"/>
      <c r="L9" s="304" t="str">
        <f>IF(AND('Mapa final'!$H$41="Muy Alta",'Mapa final'!$K$41="Leve"),CONCATENATE("R",'Mapa final'!$A$41),"")</f>
        <v/>
      </c>
      <c r="M9" s="304"/>
      <c r="N9" s="304" t="str">
        <f>IF(AND('Mapa final'!$H$47="Muy Alta",'Mapa final'!$K$47="Leve"),CONCATENATE("R",'Mapa final'!$A$47),"")</f>
        <v/>
      </c>
      <c r="O9" s="305"/>
      <c r="P9" s="309" t="str">
        <f>IF(AND('Mapa final'!$H$35="Muy Alta",'Mapa final'!$K$35="Menor"),CONCATENATE("R",'Mapa final'!$A$35),"")</f>
        <v/>
      </c>
      <c r="Q9" s="306"/>
      <c r="R9" s="304" t="str">
        <f>IF(AND('Mapa final'!$H$41="Muy Alta",'Mapa final'!$K$41="Menor"),CONCATENATE("R",'Mapa final'!$A$41),"")</f>
        <v/>
      </c>
      <c r="S9" s="304"/>
      <c r="T9" s="304" t="str">
        <f>IF(AND('Mapa final'!$H$47="Muy Alta",'Mapa final'!$K$47="Menor"),CONCATENATE("R",'Mapa final'!$A$47),"")</f>
        <v/>
      </c>
      <c r="U9" s="305"/>
      <c r="V9" s="309" t="str">
        <f>IF(AND('Mapa final'!$H$35="Muy Alta",'Mapa final'!$K$35="Moderado"),CONCATENATE("R",'Mapa final'!$A$35),"")</f>
        <v/>
      </c>
      <c r="W9" s="306"/>
      <c r="X9" s="304" t="str">
        <f>IF(AND('Mapa final'!$H$41="Muy Alta",'Mapa final'!$K$41="Moderado"),CONCATENATE("R",'Mapa final'!$A$41),"")</f>
        <v/>
      </c>
      <c r="Y9" s="304"/>
      <c r="Z9" s="304" t="str">
        <f>IF(AND('Mapa final'!$H$47="Muy Alta",'Mapa final'!$K$47="Moderado"),CONCATENATE("R",'Mapa final'!$A$47),"")</f>
        <v/>
      </c>
      <c r="AA9" s="305"/>
      <c r="AB9" s="309" t="str">
        <f>IF(AND('Mapa final'!$H$35="Muy Alta",'Mapa final'!$K$35="Mayor"),CONCATENATE("R",'Mapa final'!$A$35),"")</f>
        <v/>
      </c>
      <c r="AC9" s="306"/>
      <c r="AD9" s="304" t="str">
        <f>IF(AND('Mapa final'!$H$41="Muy Alta",'Mapa final'!$K$41="Mayor"),CONCATENATE("R",'Mapa final'!$A$41),"")</f>
        <v/>
      </c>
      <c r="AE9" s="304"/>
      <c r="AF9" s="304" t="str">
        <f>IF(AND('Mapa final'!$H$47="Muy Alta",'Mapa final'!$K$47="Mayor"),CONCATENATE("R",'Mapa final'!$A$47),"")</f>
        <v/>
      </c>
      <c r="AG9" s="305"/>
      <c r="AH9" s="317" t="str">
        <f>IF(AND('Mapa final'!$H$35="Muy Alta",'Mapa final'!$K$35="Catastrófico"),CONCATENATE("R",'Mapa final'!$A$35),"")</f>
        <v/>
      </c>
      <c r="AI9" s="318"/>
      <c r="AJ9" s="318" t="str">
        <f>IF(AND('Mapa final'!$H$41="Muy Alta",'Mapa final'!$K$41="Catastrófico"),CONCATENATE("R",'Mapa final'!$A$41),"")</f>
        <v/>
      </c>
      <c r="AK9" s="318"/>
      <c r="AL9" s="318" t="str">
        <f>IF(AND('Mapa final'!$H$47="Muy Alta",'Mapa final'!$K$47="Catastrófico"),CONCATENATE("R",'Mapa final'!$A$47),"")</f>
        <v/>
      </c>
      <c r="AM9" s="319"/>
      <c r="AN9" s="50"/>
      <c r="AO9" s="262"/>
      <c r="AP9" s="263"/>
      <c r="AQ9" s="263"/>
      <c r="AR9" s="263"/>
      <c r="AS9" s="263"/>
      <c r="AT9" s="264"/>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row>
    <row r="10" spans="1:99" ht="15" customHeight="1" x14ac:dyDescent="0.3">
      <c r="A10" s="50"/>
      <c r="B10" s="257"/>
      <c r="C10" s="257"/>
      <c r="D10" s="258"/>
      <c r="E10" s="298"/>
      <c r="F10" s="299"/>
      <c r="G10" s="299"/>
      <c r="H10" s="299"/>
      <c r="I10" s="300"/>
      <c r="J10" s="309"/>
      <c r="K10" s="306"/>
      <c r="L10" s="304"/>
      <c r="M10" s="304"/>
      <c r="N10" s="304"/>
      <c r="O10" s="305"/>
      <c r="P10" s="309"/>
      <c r="Q10" s="306"/>
      <c r="R10" s="304"/>
      <c r="S10" s="304"/>
      <c r="T10" s="304"/>
      <c r="U10" s="305"/>
      <c r="V10" s="309"/>
      <c r="W10" s="306"/>
      <c r="X10" s="304"/>
      <c r="Y10" s="304"/>
      <c r="Z10" s="304"/>
      <c r="AA10" s="305"/>
      <c r="AB10" s="309"/>
      <c r="AC10" s="306"/>
      <c r="AD10" s="304"/>
      <c r="AE10" s="304"/>
      <c r="AF10" s="304"/>
      <c r="AG10" s="305"/>
      <c r="AH10" s="317"/>
      <c r="AI10" s="318"/>
      <c r="AJ10" s="318"/>
      <c r="AK10" s="318"/>
      <c r="AL10" s="318"/>
      <c r="AM10" s="319"/>
      <c r="AN10" s="50"/>
      <c r="AO10" s="262"/>
      <c r="AP10" s="263"/>
      <c r="AQ10" s="263"/>
      <c r="AR10" s="263"/>
      <c r="AS10" s="263"/>
      <c r="AT10" s="264"/>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row>
    <row r="11" spans="1:99" ht="15" customHeight="1" x14ac:dyDescent="0.3">
      <c r="A11" s="50"/>
      <c r="B11" s="257"/>
      <c r="C11" s="257"/>
      <c r="D11" s="258"/>
      <c r="E11" s="298"/>
      <c r="F11" s="299"/>
      <c r="G11" s="299"/>
      <c r="H11" s="299"/>
      <c r="I11" s="300"/>
      <c r="J11" s="309" t="str">
        <f>IF(AND('Mapa final'!$H$53="Muy Alta",'Mapa final'!$K$53="Leve"),CONCATENATE("R",'Mapa final'!$A$53),"")</f>
        <v/>
      </c>
      <c r="K11" s="306"/>
      <c r="L11" s="304" t="str">
        <f>IF(AND('Mapa final'!$H$59="Muy Alta",'Mapa final'!$K$59="Leve"),CONCATENATE("R",'Mapa final'!$A$59),"")</f>
        <v/>
      </c>
      <c r="M11" s="304"/>
      <c r="N11" s="304" t="str">
        <f>IF(AND('Mapa final'!$H$65="Muy Alta",'Mapa final'!$K$65="Leve"),CONCATENATE("R",'Mapa final'!$A$65),"")</f>
        <v/>
      </c>
      <c r="O11" s="305"/>
      <c r="P11" s="309" t="str">
        <f>IF(AND('Mapa final'!$H$53="Muy Alta",'Mapa final'!$K$53="Menor"),CONCATENATE("R",'Mapa final'!$A$53),"")</f>
        <v/>
      </c>
      <c r="Q11" s="306"/>
      <c r="R11" s="304" t="str">
        <f>IF(AND('Mapa final'!$H$59="Muy Alta",'Mapa final'!$K$59="Menor"),CONCATENATE("R",'Mapa final'!$A$59),"")</f>
        <v/>
      </c>
      <c r="S11" s="304"/>
      <c r="T11" s="304" t="str">
        <f>IF(AND('Mapa final'!$H$65="Muy Alta",'Mapa final'!$K$65="Menor"),CONCATENATE("R",'Mapa final'!$A$65),"")</f>
        <v/>
      </c>
      <c r="U11" s="305"/>
      <c r="V11" s="309" t="str">
        <f>IF(AND('Mapa final'!$H$53="Muy Alta",'Mapa final'!$K$53="Moderado"),CONCATENATE("R",'Mapa final'!$A$53),"")</f>
        <v/>
      </c>
      <c r="W11" s="306"/>
      <c r="X11" s="304" t="str">
        <f>IF(AND('Mapa final'!$H$59="Muy Alta",'Mapa final'!$K$59="Moderado"),CONCATENATE("R",'Mapa final'!$A$59),"")</f>
        <v/>
      </c>
      <c r="Y11" s="304"/>
      <c r="Z11" s="304" t="str">
        <f>IF(AND('Mapa final'!$H$65="Muy Alta",'Mapa final'!$K$65="Moderado"),CONCATENATE("R",'Mapa final'!$A$65),"")</f>
        <v/>
      </c>
      <c r="AA11" s="305"/>
      <c r="AB11" s="309" t="str">
        <f>IF(AND('Mapa final'!$H$53="Muy Alta",'Mapa final'!$K$53="Mayor"),CONCATENATE("R",'Mapa final'!$A$53),"")</f>
        <v/>
      </c>
      <c r="AC11" s="306"/>
      <c r="AD11" s="304" t="str">
        <f>IF(AND('Mapa final'!$H$59="Muy Alta",'Mapa final'!$K$59="Mayor"),CONCATENATE("R",'Mapa final'!$A$59),"")</f>
        <v/>
      </c>
      <c r="AE11" s="304"/>
      <c r="AF11" s="304" t="str">
        <f>IF(AND('Mapa final'!$H$65="Muy Alta",'Mapa final'!$K$65="Mayor"),CONCATENATE("R",'Mapa final'!$A$65),"")</f>
        <v/>
      </c>
      <c r="AG11" s="305"/>
      <c r="AH11" s="317" t="str">
        <f>IF(AND('Mapa final'!$H$53="Muy Alta",'Mapa final'!$K$53="Catastrófico"),CONCATENATE("R",'Mapa final'!$A$53),"")</f>
        <v/>
      </c>
      <c r="AI11" s="318"/>
      <c r="AJ11" s="318" t="str">
        <f>IF(AND('Mapa final'!$H$59="Muy Alta",'Mapa final'!$K$59="Catastrófico"),CONCATENATE("R",'Mapa final'!$A$59),"")</f>
        <v/>
      </c>
      <c r="AK11" s="318"/>
      <c r="AL11" s="318" t="str">
        <f>IF(AND('Mapa final'!$H$65="Muy Alta",'Mapa final'!$K$65="Catastrófico"),CONCATENATE("R",'Mapa final'!$A$65),"")</f>
        <v/>
      </c>
      <c r="AM11" s="319"/>
      <c r="AN11" s="50"/>
      <c r="AO11" s="262"/>
      <c r="AP11" s="263"/>
      <c r="AQ11" s="263"/>
      <c r="AR11" s="263"/>
      <c r="AS11" s="263"/>
      <c r="AT11" s="264"/>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row>
    <row r="12" spans="1:99" ht="15.75" customHeight="1" thickBot="1" x14ac:dyDescent="0.35">
      <c r="A12" s="50"/>
      <c r="B12" s="257"/>
      <c r="C12" s="257"/>
      <c r="D12" s="258"/>
      <c r="E12" s="301"/>
      <c r="F12" s="302"/>
      <c r="G12" s="302"/>
      <c r="H12" s="302"/>
      <c r="I12" s="303"/>
      <c r="J12" s="309"/>
      <c r="K12" s="306"/>
      <c r="L12" s="306"/>
      <c r="M12" s="306"/>
      <c r="N12" s="306"/>
      <c r="O12" s="305"/>
      <c r="P12" s="309"/>
      <c r="Q12" s="306"/>
      <c r="R12" s="306"/>
      <c r="S12" s="306"/>
      <c r="T12" s="306"/>
      <c r="U12" s="305"/>
      <c r="V12" s="309"/>
      <c r="W12" s="306"/>
      <c r="X12" s="306"/>
      <c r="Y12" s="306"/>
      <c r="Z12" s="306"/>
      <c r="AA12" s="305"/>
      <c r="AB12" s="309"/>
      <c r="AC12" s="306"/>
      <c r="AD12" s="306"/>
      <c r="AE12" s="306"/>
      <c r="AF12" s="306"/>
      <c r="AG12" s="305"/>
      <c r="AH12" s="320"/>
      <c r="AI12" s="321"/>
      <c r="AJ12" s="321"/>
      <c r="AK12" s="321"/>
      <c r="AL12" s="321"/>
      <c r="AM12" s="322"/>
      <c r="AN12" s="50"/>
      <c r="AO12" s="265"/>
      <c r="AP12" s="266"/>
      <c r="AQ12" s="266"/>
      <c r="AR12" s="266"/>
      <c r="AS12" s="266"/>
      <c r="AT12" s="267"/>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row>
    <row r="13" spans="1:99" ht="15" customHeight="1" x14ac:dyDescent="0.3">
      <c r="A13" s="50"/>
      <c r="B13" s="257"/>
      <c r="C13" s="257"/>
      <c r="D13" s="258"/>
      <c r="E13" s="295" t="s">
        <v>113</v>
      </c>
      <c r="F13" s="296"/>
      <c r="G13" s="296"/>
      <c r="H13" s="296"/>
      <c r="I13" s="296"/>
      <c r="J13" s="332" t="str">
        <f>IF(AND('Mapa final'!$H$11="Alta",'Mapa final'!$K$11="Leve"),CONCATENATE("R",'Mapa final'!$A$11),"")</f>
        <v/>
      </c>
      <c r="K13" s="333"/>
      <c r="L13" s="333" t="str">
        <f>IF(AND('Mapa final'!$H$17="Alta",'Mapa final'!$K$17="Leve"),CONCATENATE("R",'Mapa final'!$A$17),"")</f>
        <v/>
      </c>
      <c r="M13" s="333"/>
      <c r="N13" s="333" t="e">
        <f>IF(AND('Mapa final'!#REF!="Alta",'Mapa final'!#REF!="Leve"),CONCATENATE("R",'Mapa final'!#REF!),"")</f>
        <v>#REF!</v>
      </c>
      <c r="O13" s="334"/>
      <c r="P13" s="332" t="str">
        <f>IF(AND('Mapa final'!$H$11="Alta",'Mapa final'!$K$11="Menor"),CONCATENATE("R",'Mapa final'!$A$11),"")</f>
        <v/>
      </c>
      <c r="Q13" s="333"/>
      <c r="R13" s="333" t="str">
        <f>IF(AND('Mapa final'!$H$17="Alta",'Mapa final'!$K$17="Menor"),CONCATENATE("R",'Mapa final'!$A$17),"")</f>
        <v/>
      </c>
      <c r="S13" s="333"/>
      <c r="T13" s="333" t="e">
        <f>IF(AND('Mapa final'!#REF!="Alta",'Mapa final'!#REF!="Menor"),CONCATENATE("R",'Mapa final'!#REF!),"")</f>
        <v>#REF!</v>
      </c>
      <c r="U13" s="334"/>
      <c r="V13" s="307" t="str">
        <f>IF(AND('Mapa final'!$H$11="Alta",'Mapa final'!$K$11="Moderado"),CONCATENATE("R",'Mapa final'!$A$11),"")</f>
        <v/>
      </c>
      <c r="W13" s="308"/>
      <c r="X13" s="308" t="str">
        <f>IF(AND('Mapa final'!$H$17="Alta",'Mapa final'!$K$17="Moderado"),CONCATENATE("R",'Mapa final'!$A$17),"")</f>
        <v/>
      </c>
      <c r="Y13" s="308"/>
      <c r="Z13" s="308" t="e">
        <f>IF(AND('Mapa final'!#REF!="Alta",'Mapa final'!#REF!="Moderado"),CONCATENATE("R",'Mapa final'!#REF!),"")</f>
        <v>#REF!</v>
      </c>
      <c r="AA13" s="310"/>
      <c r="AB13" s="307" t="str">
        <f>IF(AND('Mapa final'!$H$11="Alta",'Mapa final'!$K$11="Mayor"),CONCATENATE("R",'Mapa final'!$A$11),"")</f>
        <v/>
      </c>
      <c r="AC13" s="308"/>
      <c r="AD13" s="308" t="str">
        <f>IF(AND('Mapa final'!$H$17="Alta",'Mapa final'!$K$17="Mayor"),CONCATENATE("R",'Mapa final'!$A$17),"")</f>
        <v/>
      </c>
      <c r="AE13" s="308"/>
      <c r="AF13" s="308" t="e">
        <f>IF(AND('Mapa final'!#REF!="Alta",'Mapa final'!#REF!="Mayor"),CONCATENATE("R",'Mapa final'!#REF!),"")</f>
        <v>#REF!</v>
      </c>
      <c r="AG13" s="310"/>
      <c r="AH13" s="323" t="str">
        <f>IF(AND('Mapa final'!$H$11="Alta",'Mapa final'!$K$11="Catastrófico"),CONCATENATE("R",'Mapa final'!$A$11),"")</f>
        <v/>
      </c>
      <c r="AI13" s="324"/>
      <c r="AJ13" s="324" t="str">
        <f>IF(AND('Mapa final'!$H$17="Alta",'Mapa final'!$K$17="Catastrófico"),CONCATENATE("R",'Mapa final'!$A$17),"")</f>
        <v/>
      </c>
      <c r="AK13" s="324"/>
      <c r="AL13" s="324" t="e">
        <f>IF(AND('Mapa final'!#REF!="Alta",'Mapa final'!#REF!="Catastrófico"),CONCATENATE("R",'Mapa final'!#REF!),"")</f>
        <v>#REF!</v>
      </c>
      <c r="AM13" s="325"/>
      <c r="AN13" s="50"/>
      <c r="AO13" s="268" t="s">
        <v>79</v>
      </c>
      <c r="AP13" s="269"/>
      <c r="AQ13" s="269"/>
      <c r="AR13" s="269"/>
      <c r="AS13" s="269"/>
      <c r="AT13" s="27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row>
    <row r="14" spans="1:99" ht="15" customHeight="1" x14ac:dyDescent="0.3">
      <c r="A14" s="50"/>
      <c r="B14" s="257"/>
      <c r="C14" s="257"/>
      <c r="D14" s="258"/>
      <c r="E14" s="298"/>
      <c r="F14" s="299"/>
      <c r="G14" s="299"/>
      <c r="H14" s="299"/>
      <c r="I14" s="312"/>
      <c r="J14" s="326"/>
      <c r="K14" s="327"/>
      <c r="L14" s="327"/>
      <c r="M14" s="327"/>
      <c r="N14" s="327"/>
      <c r="O14" s="328"/>
      <c r="P14" s="326"/>
      <c r="Q14" s="327"/>
      <c r="R14" s="327"/>
      <c r="S14" s="327"/>
      <c r="T14" s="327"/>
      <c r="U14" s="328"/>
      <c r="V14" s="309"/>
      <c r="W14" s="306"/>
      <c r="X14" s="306"/>
      <c r="Y14" s="306"/>
      <c r="Z14" s="306"/>
      <c r="AA14" s="305"/>
      <c r="AB14" s="309"/>
      <c r="AC14" s="306"/>
      <c r="AD14" s="306"/>
      <c r="AE14" s="306"/>
      <c r="AF14" s="306"/>
      <c r="AG14" s="305"/>
      <c r="AH14" s="317"/>
      <c r="AI14" s="318"/>
      <c r="AJ14" s="318"/>
      <c r="AK14" s="318"/>
      <c r="AL14" s="318"/>
      <c r="AM14" s="319"/>
      <c r="AN14" s="50"/>
      <c r="AO14" s="271"/>
      <c r="AP14" s="272"/>
      <c r="AQ14" s="272"/>
      <c r="AR14" s="272"/>
      <c r="AS14" s="272"/>
      <c r="AT14" s="273"/>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row>
    <row r="15" spans="1:99" ht="15" customHeight="1" x14ac:dyDescent="0.3">
      <c r="A15" s="50"/>
      <c r="B15" s="257"/>
      <c r="C15" s="257"/>
      <c r="D15" s="258"/>
      <c r="E15" s="298"/>
      <c r="F15" s="299"/>
      <c r="G15" s="299"/>
      <c r="H15" s="299"/>
      <c r="I15" s="312"/>
      <c r="J15" s="326" t="e">
        <f>IF(AND('Mapa final'!#REF!="Alta",'Mapa final'!#REF!="Leve"),CONCATENATE("R",'Mapa final'!#REF!),"")</f>
        <v>#REF!</v>
      </c>
      <c r="K15" s="327"/>
      <c r="L15" s="327" t="str">
        <f>IF(AND('Mapa final'!$H$23="Alta",'Mapa final'!$K$23="Leve"),CONCATENATE("R",'Mapa final'!$A$23),"")</f>
        <v/>
      </c>
      <c r="M15" s="327"/>
      <c r="N15" s="327" t="str">
        <f>IF(AND('Mapa final'!$H$29="Alta",'Mapa final'!$K$29="Leve"),CONCATENATE("R",'Mapa final'!$A$29),"")</f>
        <v/>
      </c>
      <c r="O15" s="328"/>
      <c r="P15" s="326" t="e">
        <f>IF(AND('Mapa final'!#REF!="Alta",'Mapa final'!#REF!="Menor"),CONCATENATE("R",'Mapa final'!#REF!),"")</f>
        <v>#REF!</v>
      </c>
      <c r="Q15" s="327"/>
      <c r="R15" s="327" t="str">
        <f>IF(AND('Mapa final'!$H$23="Alta",'Mapa final'!$K$23="Menor"),CONCATENATE("R",'Mapa final'!$A$23),"")</f>
        <v/>
      </c>
      <c r="S15" s="327"/>
      <c r="T15" s="327" t="str">
        <f>IF(AND('Mapa final'!$H$29="Alta",'Mapa final'!$K$29="Menor"),CONCATENATE("R",'Mapa final'!$A$29),"")</f>
        <v/>
      </c>
      <c r="U15" s="328"/>
      <c r="V15" s="309" t="e">
        <f>IF(AND('Mapa final'!#REF!="Alta",'Mapa final'!#REF!="Moderado"),CONCATENATE("R",'Mapa final'!#REF!),"")</f>
        <v>#REF!</v>
      </c>
      <c r="W15" s="306"/>
      <c r="X15" s="304" t="str">
        <f>IF(AND('Mapa final'!$H$23="Alta",'Mapa final'!$K$23="Moderado"),CONCATENATE("R",'Mapa final'!$A$23),"")</f>
        <v/>
      </c>
      <c r="Y15" s="304"/>
      <c r="Z15" s="304" t="str">
        <f>IF(AND('Mapa final'!$H$29="Alta",'Mapa final'!$K$29="Moderado"),CONCATENATE("R",'Mapa final'!$A$29),"")</f>
        <v/>
      </c>
      <c r="AA15" s="305"/>
      <c r="AB15" s="309" t="e">
        <f>IF(AND('Mapa final'!#REF!="Alta",'Mapa final'!#REF!="Mayor"),CONCATENATE("R",'Mapa final'!#REF!),"")</f>
        <v>#REF!</v>
      </c>
      <c r="AC15" s="306"/>
      <c r="AD15" s="304" t="str">
        <f>IF(AND('Mapa final'!$H$23="Alta",'Mapa final'!$K$23="Mayor"),CONCATENATE("R",'Mapa final'!$A$23),"")</f>
        <v/>
      </c>
      <c r="AE15" s="304"/>
      <c r="AF15" s="304" t="str">
        <f>IF(AND('Mapa final'!$H$29="Alta",'Mapa final'!$K$29="Mayor"),CONCATENATE("R",'Mapa final'!$A$29),"")</f>
        <v/>
      </c>
      <c r="AG15" s="305"/>
      <c r="AH15" s="317" t="e">
        <f>IF(AND('Mapa final'!#REF!="Alta",'Mapa final'!#REF!="Catastrófico"),CONCATENATE("R",'Mapa final'!#REF!),"")</f>
        <v>#REF!</v>
      </c>
      <c r="AI15" s="318"/>
      <c r="AJ15" s="318" t="str">
        <f>IF(AND('Mapa final'!$H$23="Alta",'Mapa final'!$K$23="Catastrófico"),CONCATENATE("R",'Mapa final'!$A$23),"")</f>
        <v/>
      </c>
      <c r="AK15" s="318"/>
      <c r="AL15" s="318" t="str">
        <f>IF(AND('Mapa final'!$H$29="Alta",'Mapa final'!$K$29="Catastrófico"),CONCATENATE("R",'Mapa final'!$A$29),"")</f>
        <v/>
      </c>
      <c r="AM15" s="319"/>
      <c r="AN15" s="50"/>
      <c r="AO15" s="271"/>
      <c r="AP15" s="272"/>
      <c r="AQ15" s="272"/>
      <c r="AR15" s="272"/>
      <c r="AS15" s="272"/>
      <c r="AT15" s="273"/>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row>
    <row r="16" spans="1:99" ht="15" customHeight="1" x14ac:dyDescent="0.3">
      <c r="A16" s="50"/>
      <c r="B16" s="257"/>
      <c r="C16" s="257"/>
      <c r="D16" s="258"/>
      <c r="E16" s="298"/>
      <c r="F16" s="299"/>
      <c r="G16" s="299"/>
      <c r="H16" s="299"/>
      <c r="I16" s="312"/>
      <c r="J16" s="326"/>
      <c r="K16" s="327"/>
      <c r="L16" s="327"/>
      <c r="M16" s="327"/>
      <c r="N16" s="327"/>
      <c r="O16" s="328"/>
      <c r="P16" s="326"/>
      <c r="Q16" s="327"/>
      <c r="R16" s="327"/>
      <c r="S16" s="327"/>
      <c r="T16" s="327"/>
      <c r="U16" s="328"/>
      <c r="V16" s="309"/>
      <c r="W16" s="306"/>
      <c r="X16" s="304"/>
      <c r="Y16" s="304"/>
      <c r="Z16" s="304"/>
      <c r="AA16" s="305"/>
      <c r="AB16" s="309"/>
      <c r="AC16" s="306"/>
      <c r="AD16" s="304"/>
      <c r="AE16" s="304"/>
      <c r="AF16" s="304"/>
      <c r="AG16" s="305"/>
      <c r="AH16" s="317"/>
      <c r="AI16" s="318"/>
      <c r="AJ16" s="318"/>
      <c r="AK16" s="318"/>
      <c r="AL16" s="318"/>
      <c r="AM16" s="319"/>
      <c r="AN16" s="50"/>
      <c r="AO16" s="271"/>
      <c r="AP16" s="272"/>
      <c r="AQ16" s="272"/>
      <c r="AR16" s="272"/>
      <c r="AS16" s="272"/>
      <c r="AT16" s="273"/>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row>
    <row r="17" spans="1:80" ht="15" customHeight="1" x14ac:dyDescent="0.3">
      <c r="A17" s="50"/>
      <c r="B17" s="257"/>
      <c r="C17" s="257"/>
      <c r="D17" s="258"/>
      <c r="E17" s="298"/>
      <c r="F17" s="299"/>
      <c r="G17" s="299"/>
      <c r="H17" s="299"/>
      <c r="I17" s="312"/>
      <c r="J17" s="326" t="str">
        <f>IF(AND('Mapa final'!$H$35="Alta",'Mapa final'!$K$35="Leve"),CONCATENATE("R",'Mapa final'!$A$35),"")</f>
        <v/>
      </c>
      <c r="K17" s="327"/>
      <c r="L17" s="327" t="str">
        <f>IF(AND('Mapa final'!$H$41="Alta",'Mapa final'!$K$41="Leve"),CONCATENATE("R",'Mapa final'!$A$41),"")</f>
        <v/>
      </c>
      <c r="M17" s="327"/>
      <c r="N17" s="327" t="str">
        <f>IF(AND('Mapa final'!$H$47="Alta",'Mapa final'!$K$47="Leve"),CONCATENATE("R",'Mapa final'!$A$47),"")</f>
        <v/>
      </c>
      <c r="O17" s="328"/>
      <c r="P17" s="326" t="str">
        <f>IF(AND('Mapa final'!$H$35="Alta",'Mapa final'!$K$35="Menor"),CONCATENATE("R",'Mapa final'!$A$35),"")</f>
        <v/>
      </c>
      <c r="Q17" s="327"/>
      <c r="R17" s="327" t="str">
        <f>IF(AND('Mapa final'!$H$41="Alta",'Mapa final'!$K$41="Menor"),CONCATENATE("R",'Mapa final'!$A$41),"")</f>
        <v/>
      </c>
      <c r="S17" s="327"/>
      <c r="T17" s="327" t="str">
        <f>IF(AND('Mapa final'!$H$47="Alta",'Mapa final'!$K$47="Menor"),CONCATENATE("R",'Mapa final'!$A$47),"")</f>
        <v/>
      </c>
      <c r="U17" s="328"/>
      <c r="V17" s="309" t="str">
        <f>IF(AND('Mapa final'!$H$35="Alta",'Mapa final'!$K$35="Moderado"),CONCATENATE("R",'Mapa final'!$A$35),"")</f>
        <v/>
      </c>
      <c r="W17" s="306"/>
      <c r="X17" s="304" t="str">
        <f>IF(AND('Mapa final'!$H$41="Alta",'Mapa final'!$K$41="Moderado"),CONCATENATE("R",'Mapa final'!$A$41),"")</f>
        <v/>
      </c>
      <c r="Y17" s="304"/>
      <c r="Z17" s="304" t="str">
        <f>IF(AND('Mapa final'!$H$47="Alta",'Mapa final'!$K$47="Moderado"),CONCATENATE("R",'Mapa final'!$A$47),"")</f>
        <v/>
      </c>
      <c r="AA17" s="305"/>
      <c r="AB17" s="309" t="str">
        <f>IF(AND('Mapa final'!$H$35="Alta",'Mapa final'!$K$35="Mayor"),CONCATENATE("R",'Mapa final'!$A$35),"")</f>
        <v/>
      </c>
      <c r="AC17" s="306"/>
      <c r="AD17" s="304" t="str">
        <f>IF(AND('Mapa final'!$H$41="Alta",'Mapa final'!$K$41="Mayor"),CONCATENATE("R",'Mapa final'!$A$41),"")</f>
        <v/>
      </c>
      <c r="AE17" s="304"/>
      <c r="AF17" s="304" t="str">
        <f>IF(AND('Mapa final'!$H$47="Alta",'Mapa final'!$K$47="Mayor"),CONCATENATE("R",'Mapa final'!$A$47),"")</f>
        <v/>
      </c>
      <c r="AG17" s="305"/>
      <c r="AH17" s="317" t="str">
        <f>IF(AND('Mapa final'!$H$35="Alta",'Mapa final'!$K$35="Catastrófico"),CONCATENATE("R",'Mapa final'!$A$35),"")</f>
        <v/>
      </c>
      <c r="AI17" s="318"/>
      <c r="AJ17" s="318" t="str">
        <f>IF(AND('Mapa final'!$H$41="Alta",'Mapa final'!$K$41="Catastrófico"),CONCATENATE("R",'Mapa final'!$A$41),"")</f>
        <v/>
      </c>
      <c r="AK17" s="318"/>
      <c r="AL17" s="318" t="str">
        <f>IF(AND('Mapa final'!$H$47="Alta",'Mapa final'!$K$47="Catastrófico"),CONCATENATE("R",'Mapa final'!$A$47),"")</f>
        <v/>
      </c>
      <c r="AM17" s="319"/>
      <c r="AN17" s="50"/>
      <c r="AO17" s="271"/>
      <c r="AP17" s="272"/>
      <c r="AQ17" s="272"/>
      <c r="AR17" s="272"/>
      <c r="AS17" s="272"/>
      <c r="AT17" s="273"/>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row>
    <row r="18" spans="1:80" ht="15" customHeight="1" x14ac:dyDescent="0.3">
      <c r="A18" s="50"/>
      <c r="B18" s="257"/>
      <c r="C18" s="257"/>
      <c r="D18" s="258"/>
      <c r="E18" s="298"/>
      <c r="F18" s="299"/>
      <c r="G18" s="299"/>
      <c r="H18" s="299"/>
      <c r="I18" s="312"/>
      <c r="J18" s="326"/>
      <c r="K18" s="327"/>
      <c r="L18" s="327"/>
      <c r="M18" s="327"/>
      <c r="N18" s="327"/>
      <c r="O18" s="328"/>
      <c r="P18" s="326"/>
      <c r="Q18" s="327"/>
      <c r="R18" s="327"/>
      <c r="S18" s="327"/>
      <c r="T18" s="327"/>
      <c r="U18" s="328"/>
      <c r="V18" s="309"/>
      <c r="W18" s="306"/>
      <c r="X18" s="304"/>
      <c r="Y18" s="304"/>
      <c r="Z18" s="304"/>
      <c r="AA18" s="305"/>
      <c r="AB18" s="309"/>
      <c r="AC18" s="306"/>
      <c r="AD18" s="304"/>
      <c r="AE18" s="304"/>
      <c r="AF18" s="304"/>
      <c r="AG18" s="305"/>
      <c r="AH18" s="317"/>
      <c r="AI18" s="318"/>
      <c r="AJ18" s="318"/>
      <c r="AK18" s="318"/>
      <c r="AL18" s="318"/>
      <c r="AM18" s="319"/>
      <c r="AN18" s="50"/>
      <c r="AO18" s="271"/>
      <c r="AP18" s="272"/>
      <c r="AQ18" s="272"/>
      <c r="AR18" s="272"/>
      <c r="AS18" s="272"/>
      <c r="AT18" s="273"/>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row>
    <row r="19" spans="1:80" ht="15" customHeight="1" x14ac:dyDescent="0.3">
      <c r="A19" s="50"/>
      <c r="B19" s="257"/>
      <c r="C19" s="257"/>
      <c r="D19" s="258"/>
      <c r="E19" s="298"/>
      <c r="F19" s="299"/>
      <c r="G19" s="299"/>
      <c r="H19" s="299"/>
      <c r="I19" s="312"/>
      <c r="J19" s="326" t="str">
        <f>IF(AND('Mapa final'!$H$53="Alta",'Mapa final'!$K$53="Leve"),CONCATENATE("R",'Mapa final'!$A$53),"")</f>
        <v/>
      </c>
      <c r="K19" s="327"/>
      <c r="L19" s="327" t="str">
        <f>IF(AND('Mapa final'!$H$59="Alta",'Mapa final'!$K$59="Leve"),CONCATENATE("R",'Mapa final'!$A$59),"")</f>
        <v/>
      </c>
      <c r="M19" s="327"/>
      <c r="N19" s="327" t="str">
        <f>IF(AND('Mapa final'!$H$65="Alta",'Mapa final'!$K$65="Leve"),CONCATENATE("R",'Mapa final'!$A$65),"")</f>
        <v/>
      </c>
      <c r="O19" s="328"/>
      <c r="P19" s="326" t="str">
        <f>IF(AND('Mapa final'!$H$53="Alta",'Mapa final'!$K$53="Menor"),CONCATENATE("R",'Mapa final'!$A$53),"")</f>
        <v/>
      </c>
      <c r="Q19" s="327"/>
      <c r="R19" s="327" t="str">
        <f>IF(AND('Mapa final'!$H$59="Alta",'Mapa final'!$K$59="Menor"),CONCATENATE("R",'Mapa final'!$A$59),"")</f>
        <v/>
      </c>
      <c r="S19" s="327"/>
      <c r="T19" s="327" t="str">
        <f>IF(AND('Mapa final'!$H$65="Alta",'Mapa final'!$K$65="Menor"),CONCATENATE("R",'Mapa final'!$A$65),"")</f>
        <v/>
      </c>
      <c r="U19" s="328"/>
      <c r="V19" s="309" t="str">
        <f>IF(AND('Mapa final'!$H$53="Alta",'Mapa final'!$K$53="Moderado"),CONCATENATE("R",'Mapa final'!$A$53),"")</f>
        <v/>
      </c>
      <c r="W19" s="306"/>
      <c r="X19" s="304" t="str">
        <f>IF(AND('Mapa final'!$H$59="Alta",'Mapa final'!$K$59="Moderado"),CONCATENATE("R",'Mapa final'!$A$59),"")</f>
        <v/>
      </c>
      <c r="Y19" s="304"/>
      <c r="Z19" s="304" t="str">
        <f>IF(AND('Mapa final'!$H$65="Alta",'Mapa final'!$K$65="Moderado"),CONCATENATE("R",'Mapa final'!$A$65),"")</f>
        <v/>
      </c>
      <c r="AA19" s="305"/>
      <c r="AB19" s="309" t="str">
        <f>IF(AND('Mapa final'!$H$53="Alta",'Mapa final'!$K$53="Mayor"),CONCATENATE("R",'Mapa final'!$A$53),"")</f>
        <v/>
      </c>
      <c r="AC19" s="306"/>
      <c r="AD19" s="304" t="str">
        <f>IF(AND('Mapa final'!$H$59="Alta",'Mapa final'!$K$59="Mayor"),CONCATENATE("R",'Mapa final'!$A$59),"")</f>
        <v/>
      </c>
      <c r="AE19" s="304"/>
      <c r="AF19" s="304" t="str">
        <f>IF(AND('Mapa final'!$H$65="Alta",'Mapa final'!$K$65="Mayor"),CONCATENATE("R",'Mapa final'!$A$65),"")</f>
        <v/>
      </c>
      <c r="AG19" s="305"/>
      <c r="AH19" s="317" t="str">
        <f>IF(AND('Mapa final'!$H$53="Alta",'Mapa final'!$K$53="Catastrófico"),CONCATENATE("R",'Mapa final'!$A$53),"")</f>
        <v/>
      </c>
      <c r="AI19" s="318"/>
      <c r="AJ19" s="318" t="str">
        <f>IF(AND('Mapa final'!$H$59="Alta",'Mapa final'!$K$59="Catastrófico"),CONCATENATE("R",'Mapa final'!$A$59),"")</f>
        <v/>
      </c>
      <c r="AK19" s="318"/>
      <c r="AL19" s="318" t="str">
        <f>IF(AND('Mapa final'!$H$65="Alta",'Mapa final'!$K$65="Catastrófico"),CONCATENATE("R",'Mapa final'!$A$65),"")</f>
        <v/>
      </c>
      <c r="AM19" s="319"/>
      <c r="AN19" s="50"/>
      <c r="AO19" s="271"/>
      <c r="AP19" s="272"/>
      <c r="AQ19" s="272"/>
      <c r="AR19" s="272"/>
      <c r="AS19" s="272"/>
      <c r="AT19" s="273"/>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row>
    <row r="20" spans="1:80" ht="15.75" customHeight="1" thickBot="1" x14ac:dyDescent="0.35">
      <c r="A20" s="50"/>
      <c r="B20" s="257"/>
      <c r="C20" s="257"/>
      <c r="D20" s="258"/>
      <c r="E20" s="301"/>
      <c r="F20" s="302"/>
      <c r="G20" s="302"/>
      <c r="H20" s="302"/>
      <c r="I20" s="302"/>
      <c r="J20" s="329"/>
      <c r="K20" s="330"/>
      <c r="L20" s="330"/>
      <c r="M20" s="330"/>
      <c r="N20" s="330"/>
      <c r="O20" s="331"/>
      <c r="P20" s="329"/>
      <c r="Q20" s="330"/>
      <c r="R20" s="330"/>
      <c r="S20" s="330"/>
      <c r="T20" s="330"/>
      <c r="U20" s="331"/>
      <c r="V20" s="314"/>
      <c r="W20" s="315"/>
      <c r="X20" s="315"/>
      <c r="Y20" s="315"/>
      <c r="Z20" s="315"/>
      <c r="AA20" s="316"/>
      <c r="AB20" s="314"/>
      <c r="AC20" s="315"/>
      <c r="AD20" s="315"/>
      <c r="AE20" s="315"/>
      <c r="AF20" s="315"/>
      <c r="AG20" s="316"/>
      <c r="AH20" s="320"/>
      <c r="AI20" s="321"/>
      <c r="AJ20" s="321"/>
      <c r="AK20" s="321"/>
      <c r="AL20" s="321"/>
      <c r="AM20" s="322"/>
      <c r="AN20" s="50"/>
      <c r="AO20" s="274"/>
      <c r="AP20" s="275"/>
      <c r="AQ20" s="275"/>
      <c r="AR20" s="275"/>
      <c r="AS20" s="275"/>
      <c r="AT20" s="276"/>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row>
    <row r="21" spans="1:80" x14ac:dyDescent="0.3">
      <c r="A21" s="50"/>
      <c r="B21" s="257"/>
      <c r="C21" s="257"/>
      <c r="D21" s="258"/>
      <c r="E21" s="295" t="s">
        <v>115</v>
      </c>
      <c r="F21" s="296"/>
      <c r="G21" s="296"/>
      <c r="H21" s="296"/>
      <c r="I21" s="297"/>
      <c r="J21" s="332" t="str">
        <f>IF(AND('Mapa final'!$H$11="Media",'Mapa final'!$K$11="Leve"),CONCATENATE("R",'Mapa final'!$A$11),"")</f>
        <v/>
      </c>
      <c r="K21" s="333"/>
      <c r="L21" s="333" t="str">
        <f>IF(AND('Mapa final'!$H$17="Media",'Mapa final'!$K$17="Leve"),CONCATENATE("R",'Mapa final'!$A$17),"")</f>
        <v/>
      </c>
      <c r="M21" s="333"/>
      <c r="N21" s="333" t="e">
        <f>IF(AND('Mapa final'!#REF!="Media",'Mapa final'!#REF!="Leve"),CONCATENATE("R",'Mapa final'!#REF!),"")</f>
        <v>#REF!</v>
      </c>
      <c r="O21" s="334"/>
      <c r="P21" s="332" t="str">
        <f>IF(AND('Mapa final'!$H$11="Media",'Mapa final'!$K$11="Menor"),CONCATENATE("R",'Mapa final'!$A$11),"")</f>
        <v/>
      </c>
      <c r="Q21" s="333"/>
      <c r="R21" s="333" t="str">
        <f>IF(AND('Mapa final'!$H$17="Media",'Mapa final'!$K$17="Menor"),CONCATENATE("R",'Mapa final'!$A$17),"")</f>
        <v/>
      </c>
      <c r="S21" s="333"/>
      <c r="T21" s="333" t="e">
        <f>IF(AND('Mapa final'!#REF!="Media",'Mapa final'!#REF!="Menor"),CONCATENATE("R",'Mapa final'!#REF!),"")</f>
        <v>#REF!</v>
      </c>
      <c r="U21" s="334"/>
      <c r="V21" s="332" t="str">
        <f>IF(AND('Mapa final'!$H$11="Media",'Mapa final'!$K$11="Moderado"),CONCATENATE("R",'Mapa final'!$A$11),"")</f>
        <v/>
      </c>
      <c r="W21" s="333"/>
      <c r="X21" s="333" t="str">
        <f>IF(AND('Mapa final'!$H$17="Media",'Mapa final'!$K$17="Moderado"),CONCATENATE("R",'Mapa final'!$A$17),"")</f>
        <v/>
      </c>
      <c r="Y21" s="333"/>
      <c r="Z21" s="333" t="e">
        <f>IF(AND('Mapa final'!#REF!="Media",'Mapa final'!#REF!="Moderado"),CONCATENATE("R",'Mapa final'!#REF!),"")</f>
        <v>#REF!</v>
      </c>
      <c r="AA21" s="334"/>
      <c r="AB21" s="307" t="str">
        <f>IF(AND('Mapa final'!$H$11="Media",'Mapa final'!$K$11="Mayor"),CONCATENATE("R",'Mapa final'!$A$11),"")</f>
        <v>R1</v>
      </c>
      <c r="AC21" s="308"/>
      <c r="AD21" s="308" t="str">
        <f>IF(AND('Mapa final'!$H$17="Media",'Mapa final'!$K$17="Mayor"),CONCATENATE("R",'Mapa final'!$A$17),"")</f>
        <v>R2</v>
      </c>
      <c r="AE21" s="308"/>
      <c r="AF21" s="308" t="e">
        <f>IF(AND('Mapa final'!#REF!="Media",'Mapa final'!#REF!="Mayor"),CONCATENATE("R",'Mapa final'!#REF!),"")</f>
        <v>#REF!</v>
      </c>
      <c r="AG21" s="310"/>
      <c r="AH21" s="323" t="str">
        <f>IF(AND('Mapa final'!$H$11="Media",'Mapa final'!$K$11="Catastrófico"),CONCATENATE("R",'Mapa final'!$A$11),"")</f>
        <v/>
      </c>
      <c r="AI21" s="324"/>
      <c r="AJ21" s="324" t="str">
        <f>IF(AND('Mapa final'!$H$17="Media",'Mapa final'!$K$17="Catastrófico"),CONCATENATE("R",'Mapa final'!$A$17),"")</f>
        <v/>
      </c>
      <c r="AK21" s="324"/>
      <c r="AL21" s="324" t="e">
        <f>IF(AND('Mapa final'!#REF!="Media",'Mapa final'!#REF!="Catastrófico"),CONCATENATE("R",'Mapa final'!#REF!),"")</f>
        <v>#REF!</v>
      </c>
      <c r="AM21" s="325"/>
      <c r="AN21" s="50"/>
      <c r="AO21" s="277" t="s">
        <v>80</v>
      </c>
      <c r="AP21" s="278"/>
      <c r="AQ21" s="278"/>
      <c r="AR21" s="278"/>
      <c r="AS21" s="278"/>
      <c r="AT21" s="279"/>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row>
    <row r="22" spans="1:80" x14ac:dyDescent="0.3">
      <c r="A22" s="50"/>
      <c r="B22" s="257"/>
      <c r="C22" s="257"/>
      <c r="D22" s="258"/>
      <c r="E22" s="298"/>
      <c r="F22" s="299"/>
      <c r="G22" s="299"/>
      <c r="H22" s="299"/>
      <c r="I22" s="300"/>
      <c r="J22" s="326"/>
      <c r="K22" s="327"/>
      <c r="L22" s="327"/>
      <c r="M22" s="327"/>
      <c r="N22" s="327"/>
      <c r="O22" s="328"/>
      <c r="P22" s="326"/>
      <c r="Q22" s="327"/>
      <c r="R22" s="327"/>
      <c r="S22" s="327"/>
      <c r="T22" s="327"/>
      <c r="U22" s="328"/>
      <c r="V22" s="326"/>
      <c r="W22" s="327"/>
      <c r="X22" s="327"/>
      <c r="Y22" s="327"/>
      <c r="Z22" s="327"/>
      <c r="AA22" s="328"/>
      <c r="AB22" s="309"/>
      <c r="AC22" s="306"/>
      <c r="AD22" s="306"/>
      <c r="AE22" s="306"/>
      <c r="AF22" s="306"/>
      <c r="AG22" s="305"/>
      <c r="AH22" s="317"/>
      <c r="AI22" s="318"/>
      <c r="AJ22" s="318"/>
      <c r="AK22" s="318"/>
      <c r="AL22" s="318"/>
      <c r="AM22" s="319"/>
      <c r="AN22" s="50"/>
      <c r="AO22" s="280"/>
      <c r="AP22" s="281"/>
      <c r="AQ22" s="281"/>
      <c r="AR22" s="281"/>
      <c r="AS22" s="281"/>
      <c r="AT22" s="282"/>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row>
    <row r="23" spans="1:80" x14ac:dyDescent="0.3">
      <c r="A23" s="50"/>
      <c r="B23" s="257"/>
      <c r="C23" s="257"/>
      <c r="D23" s="258"/>
      <c r="E23" s="298"/>
      <c r="F23" s="299"/>
      <c r="G23" s="299"/>
      <c r="H23" s="299"/>
      <c r="I23" s="300"/>
      <c r="J23" s="326" t="e">
        <f>IF(AND('Mapa final'!#REF!="Media",'Mapa final'!#REF!="Leve"),CONCATENATE("R",'Mapa final'!#REF!),"")</f>
        <v>#REF!</v>
      </c>
      <c r="K23" s="327"/>
      <c r="L23" s="327" t="str">
        <f>IF(AND('Mapa final'!$H$23="Media",'Mapa final'!$K$23="Leve"),CONCATENATE("R",'Mapa final'!$A$23),"")</f>
        <v/>
      </c>
      <c r="M23" s="327"/>
      <c r="N23" s="327" t="str">
        <f>IF(AND('Mapa final'!$H$29="Media",'Mapa final'!$K$29="Leve"),CONCATENATE("R",'Mapa final'!$A$29),"")</f>
        <v/>
      </c>
      <c r="O23" s="328"/>
      <c r="P23" s="326" t="e">
        <f>IF(AND('Mapa final'!#REF!="Media",'Mapa final'!#REF!="Menor"),CONCATENATE("R",'Mapa final'!#REF!),"")</f>
        <v>#REF!</v>
      </c>
      <c r="Q23" s="327"/>
      <c r="R23" s="327" t="str">
        <f>IF(AND('Mapa final'!$H$23="Media",'Mapa final'!$K$23="Menor"),CONCATENATE("R",'Mapa final'!$A$23),"")</f>
        <v/>
      </c>
      <c r="S23" s="327"/>
      <c r="T23" s="327" t="str">
        <f>IF(AND('Mapa final'!$H$29="Media",'Mapa final'!$K$29="Menor"),CONCATENATE("R",'Mapa final'!$A$29),"")</f>
        <v/>
      </c>
      <c r="U23" s="328"/>
      <c r="V23" s="326" t="e">
        <f>IF(AND('Mapa final'!#REF!="Media",'Mapa final'!#REF!="Moderado"),CONCATENATE("R",'Mapa final'!#REF!),"")</f>
        <v>#REF!</v>
      </c>
      <c r="W23" s="327"/>
      <c r="X23" s="327" t="str">
        <f>IF(AND('Mapa final'!$H$23="Media",'Mapa final'!$K$23="Moderado"),CONCATENATE("R",'Mapa final'!$A$23),"")</f>
        <v/>
      </c>
      <c r="Y23" s="327"/>
      <c r="Z23" s="327" t="str">
        <f>IF(AND('Mapa final'!$H$29="Media",'Mapa final'!$K$29="Moderado"),CONCATENATE("R",'Mapa final'!$A$29),"")</f>
        <v/>
      </c>
      <c r="AA23" s="328"/>
      <c r="AB23" s="309" t="e">
        <f>IF(AND('Mapa final'!#REF!="Media",'Mapa final'!#REF!="Mayor"),CONCATENATE("R",'Mapa final'!#REF!),"")</f>
        <v>#REF!</v>
      </c>
      <c r="AC23" s="306"/>
      <c r="AD23" s="304" t="str">
        <f>IF(AND('Mapa final'!$H$23="Media",'Mapa final'!$K$23="Mayor"),CONCATENATE("R",'Mapa final'!$A$23),"")</f>
        <v>R3</v>
      </c>
      <c r="AE23" s="304"/>
      <c r="AF23" s="304" t="str">
        <f>IF(AND('Mapa final'!$H$29="Media",'Mapa final'!$K$29="Mayor"),CONCATENATE("R",'Mapa final'!$A$29),"")</f>
        <v>R4</v>
      </c>
      <c r="AG23" s="305"/>
      <c r="AH23" s="317" t="e">
        <f>IF(AND('Mapa final'!#REF!="Media",'Mapa final'!#REF!="Catastrófico"),CONCATENATE("R",'Mapa final'!#REF!),"")</f>
        <v>#REF!</v>
      </c>
      <c r="AI23" s="318"/>
      <c r="AJ23" s="318" t="str">
        <f>IF(AND('Mapa final'!$H$23="Media",'Mapa final'!$K$23="Catastrófico"),CONCATENATE("R",'Mapa final'!$A$23),"")</f>
        <v/>
      </c>
      <c r="AK23" s="318"/>
      <c r="AL23" s="318" t="str">
        <f>IF(AND('Mapa final'!$H$29="Media",'Mapa final'!$K$29="Catastrófico"),CONCATENATE("R",'Mapa final'!$A$29),"")</f>
        <v/>
      </c>
      <c r="AM23" s="319"/>
      <c r="AN23" s="50"/>
      <c r="AO23" s="280"/>
      <c r="AP23" s="281"/>
      <c r="AQ23" s="281"/>
      <c r="AR23" s="281"/>
      <c r="AS23" s="281"/>
      <c r="AT23" s="282"/>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row>
    <row r="24" spans="1:80" x14ac:dyDescent="0.3">
      <c r="A24" s="50"/>
      <c r="B24" s="257"/>
      <c r="C24" s="257"/>
      <c r="D24" s="258"/>
      <c r="E24" s="298"/>
      <c r="F24" s="299"/>
      <c r="G24" s="299"/>
      <c r="H24" s="299"/>
      <c r="I24" s="300"/>
      <c r="J24" s="326"/>
      <c r="K24" s="327"/>
      <c r="L24" s="327"/>
      <c r="M24" s="327"/>
      <c r="N24" s="327"/>
      <c r="O24" s="328"/>
      <c r="P24" s="326"/>
      <c r="Q24" s="327"/>
      <c r="R24" s="327"/>
      <c r="S24" s="327"/>
      <c r="T24" s="327"/>
      <c r="U24" s="328"/>
      <c r="V24" s="326"/>
      <c r="W24" s="327"/>
      <c r="X24" s="327"/>
      <c r="Y24" s="327"/>
      <c r="Z24" s="327"/>
      <c r="AA24" s="328"/>
      <c r="AB24" s="309"/>
      <c r="AC24" s="306"/>
      <c r="AD24" s="304"/>
      <c r="AE24" s="304"/>
      <c r="AF24" s="304"/>
      <c r="AG24" s="305"/>
      <c r="AH24" s="317"/>
      <c r="AI24" s="318"/>
      <c r="AJ24" s="318"/>
      <c r="AK24" s="318"/>
      <c r="AL24" s="318"/>
      <c r="AM24" s="319"/>
      <c r="AN24" s="50"/>
      <c r="AO24" s="280"/>
      <c r="AP24" s="281"/>
      <c r="AQ24" s="281"/>
      <c r="AR24" s="281"/>
      <c r="AS24" s="281"/>
      <c r="AT24" s="282"/>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row>
    <row r="25" spans="1:80" x14ac:dyDescent="0.3">
      <c r="A25" s="50"/>
      <c r="B25" s="257"/>
      <c r="C25" s="257"/>
      <c r="D25" s="258"/>
      <c r="E25" s="298"/>
      <c r="F25" s="299"/>
      <c r="G25" s="299"/>
      <c r="H25" s="299"/>
      <c r="I25" s="300"/>
      <c r="J25" s="326" t="str">
        <f>IF(AND('Mapa final'!$H$35="Media",'Mapa final'!$K$35="Leve"),CONCATENATE("R",'Mapa final'!$A$35),"")</f>
        <v/>
      </c>
      <c r="K25" s="327"/>
      <c r="L25" s="327" t="str">
        <f>IF(AND('Mapa final'!$H$41="Media",'Mapa final'!$K$41="Leve"),CONCATENATE("R",'Mapa final'!$A$41),"")</f>
        <v/>
      </c>
      <c r="M25" s="327"/>
      <c r="N25" s="327" t="str">
        <f>IF(AND('Mapa final'!$H$47="Media",'Mapa final'!$K$47="Leve"),CONCATENATE("R",'Mapa final'!$A$47),"")</f>
        <v/>
      </c>
      <c r="O25" s="328"/>
      <c r="P25" s="326" t="str">
        <f>IF(AND('Mapa final'!$H$35="Media",'Mapa final'!$K$35="Menor"),CONCATENATE("R",'Mapa final'!$A$35),"")</f>
        <v/>
      </c>
      <c r="Q25" s="327"/>
      <c r="R25" s="327" t="str">
        <f>IF(AND('Mapa final'!$H$41="Media",'Mapa final'!$K$41="Menor"),CONCATENATE("R",'Mapa final'!$A$41),"")</f>
        <v/>
      </c>
      <c r="S25" s="327"/>
      <c r="T25" s="327" t="str">
        <f>IF(AND('Mapa final'!$H$47="Media",'Mapa final'!$K$47="Menor"),CONCATENATE("R",'Mapa final'!$A$47),"")</f>
        <v/>
      </c>
      <c r="U25" s="328"/>
      <c r="V25" s="326" t="str">
        <f>IF(AND('Mapa final'!$H$35="Media",'Mapa final'!$K$35="Moderado"),CONCATENATE("R",'Mapa final'!$A$35),"")</f>
        <v/>
      </c>
      <c r="W25" s="327"/>
      <c r="X25" s="327" t="str">
        <f>IF(AND('Mapa final'!$H$41="Media",'Mapa final'!$K$41="Moderado"),CONCATENATE("R",'Mapa final'!$A$41),"")</f>
        <v/>
      </c>
      <c r="Y25" s="327"/>
      <c r="Z25" s="327" t="str">
        <f>IF(AND('Mapa final'!$H$47="Media",'Mapa final'!$K$47="Moderado"),CONCATENATE("R",'Mapa final'!$A$47),"")</f>
        <v/>
      </c>
      <c r="AA25" s="328"/>
      <c r="AB25" s="309" t="str">
        <f>IF(AND('Mapa final'!$H$35="Media",'Mapa final'!$K$35="Mayor"),CONCATENATE("R",'Mapa final'!$A$35),"")</f>
        <v>R5</v>
      </c>
      <c r="AC25" s="306"/>
      <c r="AD25" s="304" t="str">
        <f>IF(AND('Mapa final'!$H$41="Media",'Mapa final'!$K$41="Mayor"),CONCATENATE("R",'Mapa final'!$A$41),"")</f>
        <v>R6</v>
      </c>
      <c r="AE25" s="304"/>
      <c r="AF25" s="304" t="str">
        <f>IF(AND('Mapa final'!$H$47="Media",'Mapa final'!$K$47="Mayor"),CONCATENATE("R",'Mapa final'!$A$47),"")</f>
        <v>R7</v>
      </c>
      <c r="AG25" s="305"/>
      <c r="AH25" s="317" t="str">
        <f>IF(AND('Mapa final'!$H$35="Media",'Mapa final'!$K$35="Catastrófico"),CONCATENATE("R",'Mapa final'!$A$35),"")</f>
        <v/>
      </c>
      <c r="AI25" s="318"/>
      <c r="AJ25" s="318" t="str">
        <f>IF(AND('Mapa final'!$H$41="Media",'Mapa final'!$K$41="Catastrófico"),CONCATENATE("R",'Mapa final'!$A$41),"")</f>
        <v/>
      </c>
      <c r="AK25" s="318"/>
      <c r="AL25" s="318" t="str">
        <f>IF(AND('Mapa final'!$H$47="Media",'Mapa final'!$K$47="Catastrófico"),CONCATENATE("R",'Mapa final'!$A$47),"")</f>
        <v/>
      </c>
      <c r="AM25" s="319"/>
      <c r="AN25" s="50"/>
      <c r="AO25" s="280"/>
      <c r="AP25" s="281"/>
      <c r="AQ25" s="281"/>
      <c r="AR25" s="281"/>
      <c r="AS25" s="281"/>
      <c r="AT25" s="282"/>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row>
    <row r="26" spans="1:80" x14ac:dyDescent="0.3">
      <c r="A26" s="50"/>
      <c r="B26" s="257"/>
      <c r="C26" s="257"/>
      <c r="D26" s="258"/>
      <c r="E26" s="298"/>
      <c r="F26" s="299"/>
      <c r="G26" s="299"/>
      <c r="H26" s="299"/>
      <c r="I26" s="300"/>
      <c r="J26" s="326"/>
      <c r="K26" s="327"/>
      <c r="L26" s="327"/>
      <c r="M26" s="327"/>
      <c r="N26" s="327"/>
      <c r="O26" s="328"/>
      <c r="P26" s="326"/>
      <c r="Q26" s="327"/>
      <c r="R26" s="327"/>
      <c r="S26" s="327"/>
      <c r="T26" s="327"/>
      <c r="U26" s="328"/>
      <c r="V26" s="326"/>
      <c r="W26" s="327"/>
      <c r="X26" s="327"/>
      <c r="Y26" s="327"/>
      <c r="Z26" s="327"/>
      <c r="AA26" s="328"/>
      <c r="AB26" s="309"/>
      <c r="AC26" s="306"/>
      <c r="AD26" s="304"/>
      <c r="AE26" s="304"/>
      <c r="AF26" s="304"/>
      <c r="AG26" s="305"/>
      <c r="AH26" s="317"/>
      <c r="AI26" s="318"/>
      <c r="AJ26" s="318"/>
      <c r="AK26" s="318"/>
      <c r="AL26" s="318"/>
      <c r="AM26" s="319"/>
      <c r="AN26" s="50"/>
      <c r="AO26" s="280"/>
      <c r="AP26" s="281"/>
      <c r="AQ26" s="281"/>
      <c r="AR26" s="281"/>
      <c r="AS26" s="281"/>
      <c r="AT26" s="282"/>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row>
    <row r="27" spans="1:80" x14ac:dyDescent="0.3">
      <c r="A27" s="50"/>
      <c r="B27" s="257"/>
      <c r="C27" s="257"/>
      <c r="D27" s="258"/>
      <c r="E27" s="298"/>
      <c r="F27" s="299"/>
      <c r="G27" s="299"/>
      <c r="H27" s="299"/>
      <c r="I27" s="300"/>
      <c r="J27" s="326" t="str">
        <f>IF(AND('Mapa final'!$H$53="Media",'Mapa final'!$K$53="Leve"),CONCATENATE("R",'Mapa final'!$A$53),"")</f>
        <v/>
      </c>
      <c r="K27" s="327"/>
      <c r="L27" s="327" t="str">
        <f>IF(AND('Mapa final'!$H$59="Media",'Mapa final'!$K$59="Leve"),CONCATENATE("R",'Mapa final'!$A$59),"")</f>
        <v/>
      </c>
      <c r="M27" s="327"/>
      <c r="N27" s="327" t="str">
        <f>IF(AND('Mapa final'!$H$65="Media",'Mapa final'!$K$65="Leve"),CONCATENATE("R",'Mapa final'!$A$65),"")</f>
        <v/>
      </c>
      <c r="O27" s="328"/>
      <c r="P27" s="326" t="str">
        <f>IF(AND('Mapa final'!$H$53="Media",'Mapa final'!$K$53="Menor"),CONCATENATE("R",'Mapa final'!$A$53),"")</f>
        <v/>
      </c>
      <c r="Q27" s="327"/>
      <c r="R27" s="327" t="str">
        <f>IF(AND('Mapa final'!$H$59="Media",'Mapa final'!$K$59="Menor"),CONCATENATE("R",'Mapa final'!$A$59),"")</f>
        <v/>
      </c>
      <c r="S27" s="327"/>
      <c r="T27" s="327" t="str">
        <f>IF(AND('Mapa final'!$H$65="Media",'Mapa final'!$K$65="Menor"),CONCATENATE("R",'Mapa final'!$A$65),"")</f>
        <v/>
      </c>
      <c r="U27" s="328"/>
      <c r="V27" s="326" t="str">
        <f>IF(AND('Mapa final'!$H$53="Media",'Mapa final'!$K$53="Moderado"),CONCATENATE("R",'Mapa final'!$A$53),"")</f>
        <v/>
      </c>
      <c r="W27" s="327"/>
      <c r="X27" s="327" t="str">
        <f>IF(AND('Mapa final'!$H$59="Media",'Mapa final'!$K$59="Moderado"),CONCATENATE("R",'Mapa final'!$A$59),"")</f>
        <v/>
      </c>
      <c r="Y27" s="327"/>
      <c r="Z27" s="327" t="str">
        <f>IF(AND('Mapa final'!$H$65="Media",'Mapa final'!$K$65="Moderado"),CONCATENATE("R",'Mapa final'!$A$65),"")</f>
        <v/>
      </c>
      <c r="AA27" s="328"/>
      <c r="AB27" s="309" t="str">
        <f>IF(AND('Mapa final'!$H$53="Media",'Mapa final'!$K$53="Mayor"),CONCATENATE("R",'Mapa final'!$A$53),"")</f>
        <v>R8</v>
      </c>
      <c r="AC27" s="306"/>
      <c r="AD27" s="304" t="str">
        <f>IF(AND('Mapa final'!$H$59="Media",'Mapa final'!$K$59="Mayor"),CONCATENATE("R",'Mapa final'!$A$59),"")</f>
        <v/>
      </c>
      <c r="AE27" s="304"/>
      <c r="AF27" s="304" t="str">
        <f>IF(AND('Mapa final'!$H$65="Media",'Mapa final'!$K$65="Mayor"),CONCATENATE("R",'Mapa final'!$A$65),"")</f>
        <v/>
      </c>
      <c r="AG27" s="305"/>
      <c r="AH27" s="317" t="str">
        <f>IF(AND('Mapa final'!$H$53="Media",'Mapa final'!$K$53="Catastrófico"),CONCATENATE("R",'Mapa final'!$A$53),"")</f>
        <v/>
      </c>
      <c r="AI27" s="318"/>
      <c r="AJ27" s="318" t="str">
        <f>IF(AND('Mapa final'!$H$59="Media",'Mapa final'!$K$59="Catastrófico"),CONCATENATE("R",'Mapa final'!$A$59),"")</f>
        <v/>
      </c>
      <c r="AK27" s="318"/>
      <c r="AL27" s="318" t="str">
        <f>IF(AND('Mapa final'!$H$65="Media",'Mapa final'!$K$65="Catastrófico"),CONCATENATE("R",'Mapa final'!$A$65),"")</f>
        <v/>
      </c>
      <c r="AM27" s="319"/>
      <c r="AN27" s="50"/>
      <c r="AO27" s="280"/>
      <c r="AP27" s="281"/>
      <c r="AQ27" s="281"/>
      <c r="AR27" s="281"/>
      <c r="AS27" s="281"/>
      <c r="AT27" s="282"/>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row>
    <row r="28" spans="1:80" ht="15" thickBot="1" x14ac:dyDescent="0.35">
      <c r="A28" s="50"/>
      <c r="B28" s="257"/>
      <c r="C28" s="257"/>
      <c r="D28" s="258"/>
      <c r="E28" s="301"/>
      <c r="F28" s="302"/>
      <c r="G28" s="302"/>
      <c r="H28" s="302"/>
      <c r="I28" s="303"/>
      <c r="J28" s="326"/>
      <c r="K28" s="327"/>
      <c r="L28" s="327"/>
      <c r="M28" s="327"/>
      <c r="N28" s="327"/>
      <c r="O28" s="328"/>
      <c r="P28" s="329"/>
      <c r="Q28" s="330"/>
      <c r="R28" s="330"/>
      <c r="S28" s="330"/>
      <c r="T28" s="330"/>
      <c r="U28" s="331"/>
      <c r="V28" s="329"/>
      <c r="W28" s="330"/>
      <c r="X28" s="330"/>
      <c r="Y28" s="330"/>
      <c r="Z28" s="330"/>
      <c r="AA28" s="331"/>
      <c r="AB28" s="314"/>
      <c r="AC28" s="315"/>
      <c r="AD28" s="315"/>
      <c r="AE28" s="315"/>
      <c r="AF28" s="315"/>
      <c r="AG28" s="316"/>
      <c r="AH28" s="320"/>
      <c r="AI28" s="321"/>
      <c r="AJ28" s="321"/>
      <c r="AK28" s="321"/>
      <c r="AL28" s="321"/>
      <c r="AM28" s="322"/>
      <c r="AN28" s="50"/>
      <c r="AO28" s="283"/>
      <c r="AP28" s="284"/>
      <c r="AQ28" s="284"/>
      <c r="AR28" s="284"/>
      <c r="AS28" s="284"/>
      <c r="AT28" s="285"/>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row>
    <row r="29" spans="1:80" x14ac:dyDescent="0.3">
      <c r="A29" s="50"/>
      <c r="B29" s="257"/>
      <c r="C29" s="257"/>
      <c r="D29" s="258"/>
      <c r="E29" s="295" t="s">
        <v>112</v>
      </c>
      <c r="F29" s="296"/>
      <c r="G29" s="296"/>
      <c r="H29" s="296"/>
      <c r="I29" s="296"/>
      <c r="J29" s="341" t="str">
        <f>IF(AND('Mapa final'!$H$11="Baja",'Mapa final'!$K$11="Leve"),CONCATENATE("R",'Mapa final'!$A$11),"")</f>
        <v/>
      </c>
      <c r="K29" s="342"/>
      <c r="L29" s="342" t="str">
        <f>IF(AND('Mapa final'!$H$17="Baja",'Mapa final'!$K$17="Leve"),CONCATENATE("R",'Mapa final'!$A$17),"")</f>
        <v/>
      </c>
      <c r="M29" s="342"/>
      <c r="N29" s="342" t="e">
        <f>IF(AND('Mapa final'!#REF!="Baja",'Mapa final'!#REF!="Leve"),CONCATENATE("R",'Mapa final'!#REF!),"")</f>
        <v>#REF!</v>
      </c>
      <c r="O29" s="343"/>
      <c r="P29" s="333" t="str">
        <f>IF(AND('Mapa final'!$H$11="Baja",'Mapa final'!$K$11="Menor"),CONCATENATE("R",'Mapa final'!$A$11),"")</f>
        <v/>
      </c>
      <c r="Q29" s="333"/>
      <c r="R29" s="333" t="str">
        <f>IF(AND('Mapa final'!$H$17="Baja",'Mapa final'!$K$17="Menor"),CONCATENATE("R",'Mapa final'!$A$17),"")</f>
        <v/>
      </c>
      <c r="S29" s="333"/>
      <c r="T29" s="333" t="e">
        <f>IF(AND('Mapa final'!#REF!="Baja",'Mapa final'!#REF!="Menor"),CONCATENATE("R",'Mapa final'!#REF!),"")</f>
        <v>#REF!</v>
      </c>
      <c r="U29" s="334"/>
      <c r="V29" s="332" t="str">
        <f>IF(AND('Mapa final'!$H$11="Baja",'Mapa final'!$K$11="Moderado"),CONCATENATE("R",'Mapa final'!$A$11),"")</f>
        <v/>
      </c>
      <c r="W29" s="333"/>
      <c r="X29" s="333" t="str">
        <f>IF(AND('Mapa final'!$H$17="Baja",'Mapa final'!$K$17="Moderado"),CONCATENATE("R",'Mapa final'!$A$17),"")</f>
        <v/>
      </c>
      <c r="Y29" s="333"/>
      <c r="Z29" s="333" t="e">
        <f>IF(AND('Mapa final'!#REF!="Baja",'Mapa final'!#REF!="Moderado"),CONCATENATE("R",'Mapa final'!#REF!),"")</f>
        <v>#REF!</v>
      </c>
      <c r="AA29" s="334"/>
      <c r="AB29" s="307" t="str">
        <f>IF(AND('Mapa final'!$H$11="Baja",'Mapa final'!$K$11="Mayor"),CONCATENATE("R",'Mapa final'!$A$11),"")</f>
        <v/>
      </c>
      <c r="AC29" s="308"/>
      <c r="AD29" s="308" t="str">
        <f>IF(AND('Mapa final'!$H$17="Baja",'Mapa final'!$K$17="Mayor"),CONCATENATE("R",'Mapa final'!$A$17),"")</f>
        <v/>
      </c>
      <c r="AE29" s="308"/>
      <c r="AF29" s="308" t="e">
        <f>IF(AND('Mapa final'!#REF!="Baja",'Mapa final'!#REF!="Mayor"),CONCATENATE("R",'Mapa final'!#REF!),"")</f>
        <v>#REF!</v>
      </c>
      <c r="AG29" s="310"/>
      <c r="AH29" s="323" t="str">
        <f>IF(AND('Mapa final'!$H$11="Baja",'Mapa final'!$K$11="Catastrófico"),CONCATENATE("R",'Mapa final'!$A$11),"")</f>
        <v/>
      </c>
      <c r="AI29" s="324"/>
      <c r="AJ29" s="324" t="str">
        <f>IF(AND('Mapa final'!$H$17="Baja",'Mapa final'!$K$17="Catastrófico"),CONCATENATE("R",'Mapa final'!$A$17),"")</f>
        <v/>
      </c>
      <c r="AK29" s="324"/>
      <c r="AL29" s="324" t="e">
        <f>IF(AND('Mapa final'!#REF!="Baja",'Mapa final'!#REF!="Catastrófico"),CONCATENATE("R",'Mapa final'!#REF!),"")</f>
        <v>#REF!</v>
      </c>
      <c r="AM29" s="325"/>
      <c r="AN29" s="50"/>
      <c r="AO29" s="286" t="s">
        <v>81</v>
      </c>
      <c r="AP29" s="287"/>
      <c r="AQ29" s="287"/>
      <c r="AR29" s="287"/>
      <c r="AS29" s="287"/>
      <c r="AT29" s="288"/>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row>
    <row r="30" spans="1:80" x14ac:dyDescent="0.3">
      <c r="A30" s="50"/>
      <c r="B30" s="257"/>
      <c r="C30" s="257"/>
      <c r="D30" s="258"/>
      <c r="E30" s="298"/>
      <c r="F30" s="299"/>
      <c r="G30" s="299"/>
      <c r="H30" s="299"/>
      <c r="I30" s="312"/>
      <c r="J30" s="337"/>
      <c r="K30" s="335"/>
      <c r="L30" s="335"/>
      <c r="M30" s="335"/>
      <c r="N30" s="335"/>
      <c r="O30" s="336"/>
      <c r="P30" s="327"/>
      <c r="Q30" s="327"/>
      <c r="R30" s="327"/>
      <c r="S30" s="327"/>
      <c r="T30" s="327"/>
      <c r="U30" s="328"/>
      <c r="V30" s="326"/>
      <c r="W30" s="327"/>
      <c r="X30" s="327"/>
      <c r="Y30" s="327"/>
      <c r="Z30" s="327"/>
      <c r="AA30" s="328"/>
      <c r="AB30" s="309"/>
      <c r="AC30" s="306"/>
      <c r="AD30" s="306"/>
      <c r="AE30" s="306"/>
      <c r="AF30" s="306"/>
      <c r="AG30" s="305"/>
      <c r="AH30" s="317"/>
      <c r="AI30" s="318"/>
      <c r="AJ30" s="318"/>
      <c r="AK30" s="318"/>
      <c r="AL30" s="318"/>
      <c r="AM30" s="319"/>
      <c r="AN30" s="50"/>
      <c r="AO30" s="289"/>
      <c r="AP30" s="290"/>
      <c r="AQ30" s="290"/>
      <c r="AR30" s="290"/>
      <c r="AS30" s="290"/>
      <c r="AT30" s="291"/>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row>
    <row r="31" spans="1:80" x14ac:dyDescent="0.3">
      <c r="A31" s="50"/>
      <c r="B31" s="257"/>
      <c r="C31" s="257"/>
      <c r="D31" s="258"/>
      <c r="E31" s="298"/>
      <c r="F31" s="299"/>
      <c r="G31" s="299"/>
      <c r="H31" s="299"/>
      <c r="I31" s="312"/>
      <c r="J31" s="337" t="e">
        <f>IF(AND('Mapa final'!#REF!="Baja",'Mapa final'!#REF!="Leve"),CONCATENATE("R",'Mapa final'!#REF!),"")</f>
        <v>#REF!</v>
      </c>
      <c r="K31" s="335"/>
      <c r="L31" s="335" t="str">
        <f>IF(AND('Mapa final'!$H$23="Baja",'Mapa final'!$K$23="Leve"),CONCATENATE("R",'Mapa final'!$A$23),"")</f>
        <v/>
      </c>
      <c r="M31" s="335"/>
      <c r="N31" s="335" t="str">
        <f>IF(AND('Mapa final'!$H$29="Baja",'Mapa final'!$K$29="Leve"),CONCATENATE("R",'Mapa final'!$A$29),"")</f>
        <v/>
      </c>
      <c r="O31" s="336"/>
      <c r="P31" s="327" t="e">
        <f>IF(AND('Mapa final'!#REF!="Baja",'Mapa final'!#REF!="Menor"),CONCATENATE("R",'Mapa final'!#REF!),"")</f>
        <v>#REF!</v>
      </c>
      <c r="Q31" s="327"/>
      <c r="R31" s="327" t="str">
        <f>IF(AND('Mapa final'!$H$23="Baja",'Mapa final'!$K$23="Menor"),CONCATENATE("R",'Mapa final'!$A$23),"")</f>
        <v/>
      </c>
      <c r="S31" s="327"/>
      <c r="T31" s="327" t="str">
        <f>IF(AND('Mapa final'!$H$29="Baja",'Mapa final'!$K$29="Menor"),CONCATENATE("R",'Mapa final'!$A$29),"")</f>
        <v/>
      </c>
      <c r="U31" s="328"/>
      <c r="V31" s="326" t="e">
        <f>IF(AND('Mapa final'!#REF!="Baja",'Mapa final'!#REF!="Moderado"),CONCATENATE("R",'Mapa final'!#REF!),"")</f>
        <v>#REF!</v>
      </c>
      <c r="W31" s="327"/>
      <c r="X31" s="327" t="str">
        <f>IF(AND('Mapa final'!$H$23="Baja",'Mapa final'!$K$23="Moderado"),CONCATENATE("R",'Mapa final'!$A$23),"")</f>
        <v/>
      </c>
      <c r="Y31" s="327"/>
      <c r="Z31" s="327" t="str">
        <f>IF(AND('Mapa final'!$H$29="Baja",'Mapa final'!$K$29="Moderado"),CONCATENATE("R",'Mapa final'!$A$29),"")</f>
        <v/>
      </c>
      <c r="AA31" s="328"/>
      <c r="AB31" s="309" t="e">
        <f>IF(AND('Mapa final'!#REF!="Baja",'Mapa final'!#REF!="Mayor"),CONCATENATE("R",'Mapa final'!#REF!),"")</f>
        <v>#REF!</v>
      </c>
      <c r="AC31" s="306"/>
      <c r="AD31" s="304" t="str">
        <f>IF(AND('Mapa final'!$H$23="Baja",'Mapa final'!$K$23="Mayor"),CONCATENATE("R",'Mapa final'!$A$23),"")</f>
        <v/>
      </c>
      <c r="AE31" s="304"/>
      <c r="AF31" s="304" t="str">
        <f>IF(AND('Mapa final'!$H$29="Baja",'Mapa final'!$K$29="Mayor"),CONCATENATE("R",'Mapa final'!$A$29),"")</f>
        <v/>
      </c>
      <c r="AG31" s="305"/>
      <c r="AH31" s="317" t="e">
        <f>IF(AND('Mapa final'!#REF!="Baja",'Mapa final'!#REF!="Catastrófico"),CONCATENATE("R",'Mapa final'!#REF!),"")</f>
        <v>#REF!</v>
      </c>
      <c r="AI31" s="318"/>
      <c r="AJ31" s="318" t="str">
        <f>IF(AND('Mapa final'!$H$23="Baja",'Mapa final'!$K$23="Catastrófico"),CONCATENATE("R",'Mapa final'!$A$23),"")</f>
        <v/>
      </c>
      <c r="AK31" s="318"/>
      <c r="AL31" s="318" t="str">
        <f>IF(AND('Mapa final'!$H$29="Baja",'Mapa final'!$K$29="Catastrófico"),CONCATENATE("R",'Mapa final'!$A$29),"")</f>
        <v/>
      </c>
      <c r="AM31" s="319"/>
      <c r="AN31" s="50"/>
      <c r="AO31" s="289"/>
      <c r="AP31" s="290"/>
      <c r="AQ31" s="290"/>
      <c r="AR31" s="290"/>
      <c r="AS31" s="290"/>
      <c r="AT31" s="291"/>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row>
    <row r="32" spans="1:80" x14ac:dyDescent="0.3">
      <c r="A32" s="50"/>
      <c r="B32" s="257"/>
      <c r="C32" s="257"/>
      <c r="D32" s="258"/>
      <c r="E32" s="298"/>
      <c r="F32" s="299"/>
      <c r="G32" s="299"/>
      <c r="H32" s="299"/>
      <c r="I32" s="312"/>
      <c r="J32" s="337"/>
      <c r="K32" s="335"/>
      <c r="L32" s="335"/>
      <c r="M32" s="335"/>
      <c r="N32" s="335"/>
      <c r="O32" s="336"/>
      <c r="P32" s="327"/>
      <c r="Q32" s="327"/>
      <c r="R32" s="327"/>
      <c r="S32" s="327"/>
      <c r="T32" s="327"/>
      <c r="U32" s="328"/>
      <c r="V32" s="326"/>
      <c r="W32" s="327"/>
      <c r="X32" s="327"/>
      <c r="Y32" s="327"/>
      <c r="Z32" s="327"/>
      <c r="AA32" s="328"/>
      <c r="AB32" s="309"/>
      <c r="AC32" s="306"/>
      <c r="AD32" s="304"/>
      <c r="AE32" s="304"/>
      <c r="AF32" s="304"/>
      <c r="AG32" s="305"/>
      <c r="AH32" s="317"/>
      <c r="AI32" s="318"/>
      <c r="AJ32" s="318"/>
      <c r="AK32" s="318"/>
      <c r="AL32" s="318"/>
      <c r="AM32" s="319"/>
      <c r="AN32" s="50"/>
      <c r="AO32" s="289"/>
      <c r="AP32" s="290"/>
      <c r="AQ32" s="290"/>
      <c r="AR32" s="290"/>
      <c r="AS32" s="290"/>
      <c r="AT32" s="291"/>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row>
    <row r="33" spans="1:80" x14ac:dyDescent="0.3">
      <c r="A33" s="50"/>
      <c r="B33" s="257"/>
      <c r="C33" s="257"/>
      <c r="D33" s="258"/>
      <c r="E33" s="298"/>
      <c r="F33" s="299"/>
      <c r="G33" s="299"/>
      <c r="H33" s="299"/>
      <c r="I33" s="312"/>
      <c r="J33" s="337" t="str">
        <f>IF(AND('Mapa final'!$H$35="Baja",'Mapa final'!$K$35="Leve"),CONCATENATE("R",'Mapa final'!$A$35),"")</f>
        <v/>
      </c>
      <c r="K33" s="335"/>
      <c r="L33" s="335" t="str">
        <f>IF(AND('Mapa final'!$H$41="Baja",'Mapa final'!$K$41="Leve"),CONCATENATE("R",'Mapa final'!$A$41),"")</f>
        <v/>
      </c>
      <c r="M33" s="335"/>
      <c r="N33" s="335" t="str">
        <f>IF(AND('Mapa final'!$H$47="Baja",'Mapa final'!$K$47="Leve"),CONCATENATE("R",'Mapa final'!$A$47),"")</f>
        <v/>
      </c>
      <c r="O33" s="336"/>
      <c r="P33" s="327" t="str">
        <f>IF(AND('Mapa final'!$H$35="Baja",'Mapa final'!$K$35="Menor"),CONCATENATE("R",'Mapa final'!$A$35),"")</f>
        <v/>
      </c>
      <c r="Q33" s="327"/>
      <c r="R33" s="327" t="str">
        <f>IF(AND('Mapa final'!$H$41="Baja",'Mapa final'!$K$41="Menor"),CONCATENATE("R",'Mapa final'!$A$41),"")</f>
        <v/>
      </c>
      <c r="S33" s="327"/>
      <c r="T33" s="327" t="str">
        <f>IF(AND('Mapa final'!$H$47="Baja",'Mapa final'!$K$47="Menor"),CONCATENATE("R",'Mapa final'!$A$47),"")</f>
        <v/>
      </c>
      <c r="U33" s="328"/>
      <c r="V33" s="326" t="str">
        <f>IF(AND('Mapa final'!$H$35="Baja",'Mapa final'!$K$35="Moderado"),CONCATENATE("R",'Mapa final'!$A$35),"")</f>
        <v/>
      </c>
      <c r="W33" s="327"/>
      <c r="X33" s="327" t="str">
        <f>IF(AND('Mapa final'!$H$41="Baja",'Mapa final'!$K$41="Moderado"),CONCATENATE("R",'Mapa final'!$A$41),"")</f>
        <v/>
      </c>
      <c r="Y33" s="327"/>
      <c r="Z33" s="327" t="str">
        <f>IF(AND('Mapa final'!$H$47="Baja",'Mapa final'!$K$47="Moderado"),CONCATENATE("R",'Mapa final'!$A$47),"")</f>
        <v/>
      </c>
      <c r="AA33" s="328"/>
      <c r="AB33" s="309" t="str">
        <f>IF(AND('Mapa final'!$H$35="Baja",'Mapa final'!$K$35="Mayor"),CONCATENATE("R",'Mapa final'!$A$35),"")</f>
        <v/>
      </c>
      <c r="AC33" s="306"/>
      <c r="AD33" s="304" t="str">
        <f>IF(AND('Mapa final'!$H$41="Baja",'Mapa final'!$K$41="Mayor"),CONCATENATE("R",'Mapa final'!$A$41),"")</f>
        <v/>
      </c>
      <c r="AE33" s="304"/>
      <c r="AF33" s="304" t="str">
        <f>IF(AND('Mapa final'!$H$47="Baja",'Mapa final'!$K$47="Mayor"),CONCATENATE("R",'Mapa final'!$A$47),"")</f>
        <v/>
      </c>
      <c r="AG33" s="305"/>
      <c r="AH33" s="317" t="str">
        <f>IF(AND('Mapa final'!$H$35="Baja",'Mapa final'!$K$35="Catastrófico"),CONCATENATE("R",'Mapa final'!$A$35),"")</f>
        <v/>
      </c>
      <c r="AI33" s="318"/>
      <c r="AJ33" s="318" t="str">
        <f>IF(AND('Mapa final'!$H$41="Baja",'Mapa final'!$K$41="Catastrófico"),CONCATENATE("R",'Mapa final'!$A$41),"")</f>
        <v/>
      </c>
      <c r="AK33" s="318"/>
      <c r="AL33" s="318" t="str">
        <f>IF(AND('Mapa final'!$H$47="Baja",'Mapa final'!$K$47="Catastrófico"),CONCATENATE("R",'Mapa final'!$A$47),"")</f>
        <v/>
      </c>
      <c r="AM33" s="319"/>
      <c r="AN33" s="50"/>
      <c r="AO33" s="289"/>
      <c r="AP33" s="290"/>
      <c r="AQ33" s="290"/>
      <c r="AR33" s="290"/>
      <c r="AS33" s="290"/>
      <c r="AT33" s="291"/>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row>
    <row r="34" spans="1:80" x14ac:dyDescent="0.3">
      <c r="A34" s="50"/>
      <c r="B34" s="257"/>
      <c r="C34" s="257"/>
      <c r="D34" s="258"/>
      <c r="E34" s="298"/>
      <c r="F34" s="299"/>
      <c r="G34" s="299"/>
      <c r="H34" s="299"/>
      <c r="I34" s="312"/>
      <c r="J34" s="337"/>
      <c r="K34" s="335"/>
      <c r="L34" s="335"/>
      <c r="M34" s="335"/>
      <c r="N34" s="335"/>
      <c r="O34" s="336"/>
      <c r="P34" s="327"/>
      <c r="Q34" s="327"/>
      <c r="R34" s="327"/>
      <c r="S34" s="327"/>
      <c r="T34" s="327"/>
      <c r="U34" s="328"/>
      <c r="V34" s="326"/>
      <c r="W34" s="327"/>
      <c r="X34" s="327"/>
      <c r="Y34" s="327"/>
      <c r="Z34" s="327"/>
      <c r="AA34" s="328"/>
      <c r="AB34" s="309"/>
      <c r="AC34" s="306"/>
      <c r="AD34" s="304"/>
      <c r="AE34" s="304"/>
      <c r="AF34" s="304"/>
      <c r="AG34" s="305"/>
      <c r="AH34" s="317"/>
      <c r="AI34" s="318"/>
      <c r="AJ34" s="318"/>
      <c r="AK34" s="318"/>
      <c r="AL34" s="318"/>
      <c r="AM34" s="319"/>
      <c r="AN34" s="50"/>
      <c r="AO34" s="289"/>
      <c r="AP34" s="290"/>
      <c r="AQ34" s="290"/>
      <c r="AR34" s="290"/>
      <c r="AS34" s="290"/>
      <c r="AT34" s="291"/>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row>
    <row r="35" spans="1:80" x14ac:dyDescent="0.3">
      <c r="A35" s="50"/>
      <c r="B35" s="257"/>
      <c r="C35" s="257"/>
      <c r="D35" s="258"/>
      <c r="E35" s="298"/>
      <c r="F35" s="299"/>
      <c r="G35" s="299"/>
      <c r="H35" s="299"/>
      <c r="I35" s="312"/>
      <c r="J35" s="337" t="str">
        <f>IF(AND('Mapa final'!$H$53="Baja",'Mapa final'!$K$53="Leve"),CONCATENATE("R",'Mapa final'!$A$53),"")</f>
        <v/>
      </c>
      <c r="K35" s="335"/>
      <c r="L35" s="335" t="str">
        <f>IF(AND('Mapa final'!$H$59="Baja",'Mapa final'!$K$59="Leve"),CONCATENATE("R",'Mapa final'!$A$59),"")</f>
        <v/>
      </c>
      <c r="M35" s="335"/>
      <c r="N35" s="335" t="str">
        <f>IF(AND('Mapa final'!$H$65="Baja",'Mapa final'!$K$65="Leve"),CONCATENATE("R",'Mapa final'!$A$65),"")</f>
        <v/>
      </c>
      <c r="O35" s="336"/>
      <c r="P35" s="327" t="str">
        <f>IF(AND('Mapa final'!$H$53="Baja",'Mapa final'!$K$53="Menor"),CONCATENATE("R",'Mapa final'!$A$53),"")</f>
        <v/>
      </c>
      <c r="Q35" s="327"/>
      <c r="R35" s="327" t="str">
        <f>IF(AND('Mapa final'!$H$59="Baja",'Mapa final'!$K$59="Menor"),CONCATENATE("R",'Mapa final'!$A$59),"")</f>
        <v/>
      </c>
      <c r="S35" s="327"/>
      <c r="T35" s="327" t="str">
        <f>IF(AND('Mapa final'!$H$65="Baja",'Mapa final'!$K$65="Menor"),CONCATENATE("R",'Mapa final'!$A$65),"")</f>
        <v/>
      </c>
      <c r="U35" s="328"/>
      <c r="V35" s="326" t="str">
        <f>IF(AND('Mapa final'!$H$53="Baja",'Mapa final'!$K$53="Moderado"),CONCATENATE("R",'Mapa final'!$A$53),"")</f>
        <v/>
      </c>
      <c r="W35" s="327"/>
      <c r="X35" s="327" t="str">
        <f>IF(AND('Mapa final'!$H$59="Baja",'Mapa final'!$K$59="Moderado"),CONCATENATE("R",'Mapa final'!$A$59),"")</f>
        <v/>
      </c>
      <c r="Y35" s="327"/>
      <c r="Z35" s="327" t="str">
        <f>IF(AND('Mapa final'!$H$65="Baja",'Mapa final'!$K$65="Moderado"),CONCATENATE("R",'Mapa final'!$A$65),"")</f>
        <v/>
      </c>
      <c r="AA35" s="328"/>
      <c r="AB35" s="309" t="str">
        <f>IF(AND('Mapa final'!$H$53="Baja",'Mapa final'!$K$53="Mayor"),CONCATENATE("R",'Mapa final'!$A$53),"")</f>
        <v/>
      </c>
      <c r="AC35" s="306"/>
      <c r="AD35" s="304" t="str">
        <f>IF(AND('Mapa final'!$H$59="Baja",'Mapa final'!$K$59="Mayor"),CONCATENATE("R",'Mapa final'!$A$59),"")</f>
        <v/>
      </c>
      <c r="AE35" s="304"/>
      <c r="AF35" s="304" t="str">
        <f>IF(AND('Mapa final'!$H$65="Baja",'Mapa final'!$K$65="Mayor"),CONCATENATE("R",'Mapa final'!$A$65),"")</f>
        <v/>
      </c>
      <c r="AG35" s="305"/>
      <c r="AH35" s="317" t="str">
        <f>IF(AND('Mapa final'!$H$53="Baja",'Mapa final'!$K$53="Catastrófico"),CONCATENATE("R",'Mapa final'!$A$53),"")</f>
        <v/>
      </c>
      <c r="AI35" s="318"/>
      <c r="AJ35" s="318" t="str">
        <f>IF(AND('Mapa final'!$H$59="Baja",'Mapa final'!$K$59="Catastrófico"),CONCATENATE("R",'Mapa final'!$A$59),"")</f>
        <v/>
      </c>
      <c r="AK35" s="318"/>
      <c r="AL35" s="318" t="str">
        <f>IF(AND('Mapa final'!$H$65="Baja",'Mapa final'!$K$65="Catastrófico"),CONCATENATE("R",'Mapa final'!$A$65),"")</f>
        <v/>
      </c>
      <c r="AM35" s="319"/>
      <c r="AN35" s="50"/>
      <c r="AO35" s="289"/>
      <c r="AP35" s="290"/>
      <c r="AQ35" s="290"/>
      <c r="AR35" s="290"/>
      <c r="AS35" s="290"/>
      <c r="AT35" s="291"/>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row>
    <row r="36" spans="1:80" ht="15" thickBot="1" x14ac:dyDescent="0.35">
      <c r="A36" s="50"/>
      <c r="B36" s="257"/>
      <c r="C36" s="257"/>
      <c r="D36" s="258"/>
      <c r="E36" s="301"/>
      <c r="F36" s="302"/>
      <c r="G36" s="302"/>
      <c r="H36" s="302"/>
      <c r="I36" s="302"/>
      <c r="J36" s="338"/>
      <c r="K36" s="339"/>
      <c r="L36" s="339"/>
      <c r="M36" s="339"/>
      <c r="N36" s="339"/>
      <c r="O36" s="340"/>
      <c r="P36" s="330"/>
      <c r="Q36" s="330"/>
      <c r="R36" s="330"/>
      <c r="S36" s="330"/>
      <c r="T36" s="330"/>
      <c r="U36" s="331"/>
      <c r="V36" s="329"/>
      <c r="W36" s="330"/>
      <c r="X36" s="330"/>
      <c r="Y36" s="330"/>
      <c r="Z36" s="330"/>
      <c r="AA36" s="331"/>
      <c r="AB36" s="314"/>
      <c r="AC36" s="315"/>
      <c r="AD36" s="315"/>
      <c r="AE36" s="315"/>
      <c r="AF36" s="315"/>
      <c r="AG36" s="316"/>
      <c r="AH36" s="320"/>
      <c r="AI36" s="321"/>
      <c r="AJ36" s="321"/>
      <c r="AK36" s="321"/>
      <c r="AL36" s="321"/>
      <c r="AM36" s="322"/>
      <c r="AN36" s="50"/>
      <c r="AO36" s="292"/>
      <c r="AP36" s="293"/>
      <c r="AQ36" s="293"/>
      <c r="AR36" s="293"/>
      <c r="AS36" s="293"/>
      <c r="AT36" s="294"/>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row>
    <row r="37" spans="1:80" x14ac:dyDescent="0.3">
      <c r="A37" s="50"/>
      <c r="B37" s="257"/>
      <c r="C37" s="257"/>
      <c r="D37" s="258"/>
      <c r="E37" s="295" t="s">
        <v>111</v>
      </c>
      <c r="F37" s="296"/>
      <c r="G37" s="296"/>
      <c r="H37" s="296"/>
      <c r="I37" s="297"/>
      <c r="J37" s="341" t="str">
        <f>IF(AND('Mapa final'!$H$11="Muy Baja",'Mapa final'!$K$11="Leve"),CONCATENATE("R",'Mapa final'!$A$11),"")</f>
        <v/>
      </c>
      <c r="K37" s="342"/>
      <c r="L37" s="342" t="str">
        <f>IF(AND('Mapa final'!$H$17="Muy Baja",'Mapa final'!$K$17="Leve"),CONCATENATE("R",'Mapa final'!$A$17),"")</f>
        <v/>
      </c>
      <c r="M37" s="342"/>
      <c r="N37" s="342" t="e">
        <f>IF(AND('Mapa final'!#REF!="Muy Baja",'Mapa final'!#REF!="Leve"),CONCATENATE("R",'Mapa final'!#REF!),"")</f>
        <v>#REF!</v>
      </c>
      <c r="O37" s="343"/>
      <c r="P37" s="341" t="str">
        <f>IF(AND('Mapa final'!$H$11="Muy Baja",'Mapa final'!$K$11="Menor"),CONCATENATE("R",'Mapa final'!$A$11),"")</f>
        <v/>
      </c>
      <c r="Q37" s="342"/>
      <c r="R37" s="342" t="str">
        <f>IF(AND('Mapa final'!$H$17="Muy Baja",'Mapa final'!$K$17="Menor"),CONCATENATE("R",'Mapa final'!$A$17),"")</f>
        <v/>
      </c>
      <c r="S37" s="342"/>
      <c r="T37" s="342" t="e">
        <f>IF(AND('Mapa final'!#REF!="Muy Baja",'Mapa final'!#REF!="Menor"),CONCATENATE("R",'Mapa final'!#REF!),"")</f>
        <v>#REF!</v>
      </c>
      <c r="U37" s="343"/>
      <c r="V37" s="332" t="str">
        <f>IF(AND('Mapa final'!$H$11="Muy Baja",'Mapa final'!$K$11="Moderado"),CONCATENATE("R",'Mapa final'!$A$11),"")</f>
        <v/>
      </c>
      <c r="W37" s="333"/>
      <c r="X37" s="333" t="str">
        <f>IF(AND('Mapa final'!$H$17="Muy Baja",'Mapa final'!$K$17="Moderado"),CONCATENATE("R",'Mapa final'!$A$17),"")</f>
        <v/>
      </c>
      <c r="Y37" s="333"/>
      <c r="Z37" s="333" t="e">
        <f>IF(AND('Mapa final'!#REF!="Muy Baja",'Mapa final'!#REF!="Moderado"),CONCATENATE("R",'Mapa final'!#REF!),"")</f>
        <v>#REF!</v>
      </c>
      <c r="AA37" s="334"/>
      <c r="AB37" s="307" t="str">
        <f>IF(AND('Mapa final'!$H$11="Muy Baja",'Mapa final'!$K$11="Mayor"),CONCATENATE("R",'Mapa final'!$A$11),"")</f>
        <v/>
      </c>
      <c r="AC37" s="308"/>
      <c r="AD37" s="308" t="str">
        <f>IF(AND('Mapa final'!$H$17="Muy Baja",'Mapa final'!$K$17="Mayor"),CONCATENATE("R",'Mapa final'!$A$17),"")</f>
        <v/>
      </c>
      <c r="AE37" s="308"/>
      <c r="AF37" s="308" t="e">
        <f>IF(AND('Mapa final'!#REF!="Muy Baja",'Mapa final'!#REF!="Mayor"),CONCATENATE("R",'Mapa final'!#REF!),"")</f>
        <v>#REF!</v>
      </c>
      <c r="AG37" s="310"/>
      <c r="AH37" s="323" t="str">
        <f>IF(AND('Mapa final'!$H$11="Muy Baja",'Mapa final'!$K$11="Catastrófico"),CONCATENATE("R",'Mapa final'!$A$11),"")</f>
        <v/>
      </c>
      <c r="AI37" s="324"/>
      <c r="AJ37" s="324" t="str">
        <f>IF(AND('Mapa final'!$H$17="Muy Baja",'Mapa final'!$K$17="Catastrófico"),CONCATENATE("R",'Mapa final'!$A$17),"")</f>
        <v/>
      </c>
      <c r="AK37" s="324"/>
      <c r="AL37" s="324" t="e">
        <f>IF(AND('Mapa final'!#REF!="Muy Baja",'Mapa final'!#REF!="Catastrófico"),CONCATENATE("R",'Mapa final'!#REF!),"")</f>
        <v>#REF!</v>
      </c>
      <c r="AM37" s="325"/>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row>
    <row r="38" spans="1:80" x14ac:dyDescent="0.3">
      <c r="A38" s="50"/>
      <c r="B38" s="257"/>
      <c r="C38" s="257"/>
      <c r="D38" s="258"/>
      <c r="E38" s="298"/>
      <c r="F38" s="299"/>
      <c r="G38" s="299"/>
      <c r="H38" s="299"/>
      <c r="I38" s="300"/>
      <c r="J38" s="337"/>
      <c r="K38" s="335"/>
      <c r="L38" s="335"/>
      <c r="M38" s="335"/>
      <c r="N38" s="335"/>
      <c r="O38" s="336"/>
      <c r="P38" s="337"/>
      <c r="Q38" s="335"/>
      <c r="R38" s="335"/>
      <c r="S38" s="335"/>
      <c r="T38" s="335"/>
      <c r="U38" s="336"/>
      <c r="V38" s="326"/>
      <c r="W38" s="327"/>
      <c r="X38" s="327"/>
      <c r="Y38" s="327"/>
      <c r="Z38" s="327"/>
      <c r="AA38" s="328"/>
      <c r="AB38" s="309"/>
      <c r="AC38" s="306"/>
      <c r="AD38" s="306"/>
      <c r="AE38" s="306"/>
      <c r="AF38" s="306"/>
      <c r="AG38" s="305"/>
      <c r="AH38" s="317"/>
      <c r="AI38" s="318"/>
      <c r="AJ38" s="318"/>
      <c r="AK38" s="318"/>
      <c r="AL38" s="318"/>
      <c r="AM38" s="319"/>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row>
    <row r="39" spans="1:80" x14ac:dyDescent="0.3">
      <c r="A39" s="50"/>
      <c r="B39" s="257"/>
      <c r="C39" s="257"/>
      <c r="D39" s="258"/>
      <c r="E39" s="298"/>
      <c r="F39" s="299"/>
      <c r="G39" s="299"/>
      <c r="H39" s="299"/>
      <c r="I39" s="300"/>
      <c r="J39" s="337" t="e">
        <f>IF(AND('Mapa final'!#REF!="Muy Baja",'Mapa final'!#REF!="Leve"),CONCATENATE("R",'Mapa final'!#REF!),"")</f>
        <v>#REF!</v>
      </c>
      <c r="K39" s="335"/>
      <c r="L39" s="335" t="str">
        <f>IF(AND('Mapa final'!$H$23="Muy Baja",'Mapa final'!$K$23="Leve"),CONCATENATE("R",'Mapa final'!$A$23),"")</f>
        <v/>
      </c>
      <c r="M39" s="335"/>
      <c r="N39" s="335" t="str">
        <f>IF(AND('Mapa final'!$H$29="Muy Baja",'Mapa final'!$K$29="Leve"),CONCATENATE("R",'Mapa final'!$A$29),"")</f>
        <v/>
      </c>
      <c r="O39" s="336"/>
      <c r="P39" s="337" t="e">
        <f>IF(AND('Mapa final'!#REF!="Muy Baja",'Mapa final'!#REF!="Menor"),CONCATENATE("R",'Mapa final'!#REF!),"")</f>
        <v>#REF!</v>
      </c>
      <c r="Q39" s="335"/>
      <c r="R39" s="335" t="str">
        <f>IF(AND('Mapa final'!$H$23="Muy Baja",'Mapa final'!$K$23="Menor"),CONCATENATE("R",'Mapa final'!$A$23),"")</f>
        <v/>
      </c>
      <c r="S39" s="335"/>
      <c r="T39" s="335" t="str">
        <f>IF(AND('Mapa final'!$H$29="Muy Baja",'Mapa final'!$K$29="Menor"),CONCATENATE("R",'Mapa final'!$A$29),"")</f>
        <v/>
      </c>
      <c r="U39" s="336"/>
      <c r="V39" s="326" t="e">
        <f>IF(AND('Mapa final'!#REF!="Muy Baja",'Mapa final'!#REF!="Moderado"),CONCATENATE("R",'Mapa final'!#REF!),"")</f>
        <v>#REF!</v>
      </c>
      <c r="W39" s="327"/>
      <c r="X39" s="327" t="str">
        <f>IF(AND('Mapa final'!$H$23="Muy Baja",'Mapa final'!$K$23="Moderado"),CONCATENATE("R",'Mapa final'!$A$23),"")</f>
        <v/>
      </c>
      <c r="Y39" s="327"/>
      <c r="Z39" s="327" t="str">
        <f>IF(AND('Mapa final'!$H$29="Muy Baja",'Mapa final'!$K$29="Moderado"),CONCATENATE("R",'Mapa final'!$A$29),"")</f>
        <v/>
      </c>
      <c r="AA39" s="328"/>
      <c r="AB39" s="309" t="e">
        <f>IF(AND('Mapa final'!#REF!="Muy Baja",'Mapa final'!#REF!="Mayor"),CONCATENATE("R",'Mapa final'!#REF!),"")</f>
        <v>#REF!</v>
      </c>
      <c r="AC39" s="306"/>
      <c r="AD39" s="304" t="str">
        <f>IF(AND('Mapa final'!$H$23="Muy Baja",'Mapa final'!$K$23="Mayor"),CONCATENATE("R",'Mapa final'!$A$23),"")</f>
        <v/>
      </c>
      <c r="AE39" s="304"/>
      <c r="AF39" s="304" t="str">
        <f>IF(AND('Mapa final'!$H$29="Muy Baja",'Mapa final'!$K$29="Mayor"),CONCATENATE("R",'Mapa final'!$A$29),"")</f>
        <v/>
      </c>
      <c r="AG39" s="305"/>
      <c r="AH39" s="317" t="e">
        <f>IF(AND('Mapa final'!#REF!="Muy Baja",'Mapa final'!#REF!="Catastrófico"),CONCATENATE("R",'Mapa final'!#REF!),"")</f>
        <v>#REF!</v>
      </c>
      <c r="AI39" s="318"/>
      <c r="AJ39" s="318" t="str">
        <f>IF(AND('Mapa final'!$H$23="Muy Baja",'Mapa final'!$K$23="Catastrófico"),CONCATENATE("R",'Mapa final'!$A$23),"")</f>
        <v/>
      </c>
      <c r="AK39" s="318"/>
      <c r="AL39" s="318" t="str">
        <f>IF(AND('Mapa final'!$H$29="Muy Baja",'Mapa final'!$K$29="Catastrófico"),CONCATENATE("R",'Mapa final'!$A$29),"")</f>
        <v/>
      </c>
      <c r="AM39" s="319"/>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row>
    <row r="40" spans="1:80" x14ac:dyDescent="0.3">
      <c r="A40" s="50"/>
      <c r="B40" s="257"/>
      <c r="C40" s="257"/>
      <c r="D40" s="258"/>
      <c r="E40" s="298"/>
      <c r="F40" s="299"/>
      <c r="G40" s="299"/>
      <c r="H40" s="299"/>
      <c r="I40" s="300"/>
      <c r="J40" s="337"/>
      <c r="K40" s="335"/>
      <c r="L40" s="335"/>
      <c r="M40" s="335"/>
      <c r="N40" s="335"/>
      <c r="O40" s="336"/>
      <c r="P40" s="337"/>
      <c r="Q40" s="335"/>
      <c r="R40" s="335"/>
      <c r="S40" s="335"/>
      <c r="T40" s="335"/>
      <c r="U40" s="336"/>
      <c r="V40" s="326"/>
      <c r="W40" s="327"/>
      <c r="X40" s="327"/>
      <c r="Y40" s="327"/>
      <c r="Z40" s="327"/>
      <c r="AA40" s="328"/>
      <c r="AB40" s="309"/>
      <c r="AC40" s="306"/>
      <c r="AD40" s="304"/>
      <c r="AE40" s="304"/>
      <c r="AF40" s="304"/>
      <c r="AG40" s="305"/>
      <c r="AH40" s="317"/>
      <c r="AI40" s="318"/>
      <c r="AJ40" s="318"/>
      <c r="AK40" s="318"/>
      <c r="AL40" s="318"/>
      <c r="AM40" s="319"/>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row>
    <row r="41" spans="1:80" x14ac:dyDescent="0.3">
      <c r="A41" s="50"/>
      <c r="B41" s="257"/>
      <c r="C41" s="257"/>
      <c r="D41" s="258"/>
      <c r="E41" s="298"/>
      <c r="F41" s="299"/>
      <c r="G41" s="299"/>
      <c r="H41" s="299"/>
      <c r="I41" s="300"/>
      <c r="J41" s="337" t="str">
        <f>IF(AND('Mapa final'!$H$35="Muy Baja",'Mapa final'!$K$35="Leve"),CONCATENATE("R",'Mapa final'!$A$35),"")</f>
        <v/>
      </c>
      <c r="K41" s="335"/>
      <c r="L41" s="335" t="str">
        <f>IF(AND('Mapa final'!$H$41="Muy Baja",'Mapa final'!$K$41="Leve"),CONCATENATE("R",'Mapa final'!$A$41),"")</f>
        <v/>
      </c>
      <c r="M41" s="335"/>
      <c r="N41" s="335" t="str">
        <f>IF(AND('Mapa final'!$H$47="Muy Baja",'Mapa final'!$K$47="Leve"),CONCATENATE("R",'Mapa final'!$A$47),"")</f>
        <v/>
      </c>
      <c r="O41" s="336"/>
      <c r="P41" s="337" t="str">
        <f>IF(AND('Mapa final'!$H$35="Muy Baja",'Mapa final'!$K$35="Menor"),CONCATENATE("R",'Mapa final'!$A$35),"")</f>
        <v/>
      </c>
      <c r="Q41" s="335"/>
      <c r="R41" s="335" t="str">
        <f>IF(AND('Mapa final'!$H$41="Muy Baja",'Mapa final'!$K$41="Menor"),CONCATENATE("R",'Mapa final'!$A$41),"")</f>
        <v/>
      </c>
      <c r="S41" s="335"/>
      <c r="T41" s="335" t="str">
        <f>IF(AND('Mapa final'!$H$47="Muy Baja",'Mapa final'!$K$47="Menor"),CONCATENATE("R",'Mapa final'!$A$47),"")</f>
        <v/>
      </c>
      <c r="U41" s="336"/>
      <c r="V41" s="326" t="str">
        <f>IF(AND('Mapa final'!$H$35="Muy Baja",'Mapa final'!$K$35="Moderado"),CONCATENATE("R",'Mapa final'!$A$35),"")</f>
        <v/>
      </c>
      <c r="W41" s="327"/>
      <c r="X41" s="327" t="str">
        <f>IF(AND('Mapa final'!$H$41="Muy Baja",'Mapa final'!$K$41="Moderado"),CONCATENATE("R",'Mapa final'!$A$41),"")</f>
        <v/>
      </c>
      <c r="Y41" s="327"/>
      <c r="Z41" s="327" t="str">
        <f>IF(AND('Mapa final'!$H$47="Muy Baja",'Mapa final'!$K$47="Moderado"),CONCATENATE("R",'Mapa final'!$A$47),"")</f>
        <v/>
      </c>
      <c r="AA41" s="328"/>
      <c r="AB41" s="309" t="str">
        <f>IF(AND('Mapa final'!$H$35="Muy Baja",'Mapa final'!$K$35="Mayor"),CONCATENATE("R",'Mapa final'!$A$35),"")</f>
        <v/>
      </c>
      <c r="AC41" s="306"/>
      <c r="AD41" s="304" t="str">
        <f>IF(AND('Mapa final'!$H$41="Muy Baja",'Mapa final'!$K$41="Mayor"),CONCATENATE("R",'Mapa final'!$A$41),"")</f>
        <v/>
      </c>
      <c r="AE41" s="304"/>
      <c r="AF41" s="304" t="str">
        <f>IF(AND('Mapa final'!$H$47="Muy Baja",'Mapa final'!$K$47="Mayor"),CONCATENATE("R",'Mapa final'!$A$47),"")</f>
        <v/>
      </c>
      <c r="AG41" s="305"/>
      <c r="AH41" s="317" t="str">
        <f>IF(AND('Mapa final'!$H$35="Muy Baja",'Mapa final'!$K$35="Catastrófico"),CONCATENATE("R",'Mapa final'!$A$35),"")</f>
        <v/>
      </c>
      <c r="AI41" s="318"/>
      <c r="AJ41" s="318" t="str">
        <f>IF(AND('Mapa final'!$H$41="Muy Baja",'Mapa final'!$K$41="Catastrófico"),CONCATENATE("R",'Mapa final'!$A$41),"")</f>
        <v/>
      </c>
      <c r="AK41" s="318"/>
      <c r="AL41" s="318" t="str">
        <f>IF(AND('Mapa final'!$H$47="Muy Baja",'Mapa final'!$K$47="Catastrófico"),CONCATENATE("R",'Mapa final'!$A$47),"")</f>
        <v/>
      </c>
      <c r="AM41" s="319"/>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row>
    <row r="42" spans="1:80" x14ac:dyDescent="0.3">
      <c r="A42" s="50"/>
      <c r="B42" s="257"/>
      <c r="C42" s="257"/>
      <c r="D42" s="258"/>
      <c r="E42" s="298"/>
      <c r="F42" s="299"/>
      <c r="G42" s="299"/>
      <c r="H42" s="299"/>
      <c r="I42" s="300"/>
      <c r="J42" s="337"/>
      <c r="K42" s="335"/>
      <c r="L42" s="335"/>
      <c r="M42" s="335"/>
      <c r="N42" s="335"/>
      <c r="O42" s="336"/>
      <c r="P42" s="337"/>
      <c r="Q42" s="335"/>
      <c r="R42" s="335"/>
      <c r="S42" s="335"/>
      <c r="T42" s="335"/>
      <c r="U42" s="336"/>
      <c r="V42" s="326"/>
      <c r="W42" s="327"/>
      <c r="X42" s="327"/>
      <c r="Y42" s="327"/>
      <c r="Z42" s="327"/>
      <c r="AA42" s="328"/>
      <c r="AB42" s="309"/>
      <c r="AC42" s="306"/>
      <c r="AD42" s="304"/>
      <c r="AE42" s="304"/>
      <c r="AF42" s="304"/>
      <c r="AG42" s="305"/>
      <c r="AH42" s="317"/>
      <c r="AI42" s="318"/>
      <c r="AJ42" s="318"/>
      <c r="AK42" s="318"/>
      <c r="AL42" s="318"/>
      <c r="AM42" s="319"/>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row>
    <row r="43" spans="1:80" x14ac:dyDescent="0.3">
      <c r="A43" s="50"/>
      <c r="B43" s="257"/>
      <c r="C43" s="257"/>
      <c r="D43" s="258"/>
      <c r="E43" s="298"/>
      <c r="F43" s="299"/>
      <c r="G43" s="299"/>
      <c r="H43" s="299"/>
      <c r="I43" s="300"/>
      <c r="J43" s="337" t="str">
        <f>IF(AND('Mapa final'!$H$53="Muy Baja",'Mapa final'!$K$53="Leve"),CONCATENATE("R",'Mapa final'!$A$53),"")</f>
        <v/>
      </c>
      <c r="K43" s="335"/>
      <c r="L43" s="335" t="str">
        <f>IF(AND('Mapa final'!$H$59="Muy Baja",'Mapa final'!$K$59="Leve"),CONCATENATE("R",'Mapa final'!$A$59),"")</f>
        <v/>
      </c>
      <c r="M43" s="335"/>
      <c r="N43" s="335" t="str">
        <f>IF(AND('Mapa final'!$H$65="Muy Baja",'Mapa final'!$K$65="Leve"),CONCATENATE("R",'Mapa final'!$A$65),"")</f>
        <v/>
      </c>
      <c r="O43" s="336"/>
      <c r="P43" s="337" t="str">
        <f>IF(AND('Mapa final'!$H$53="Muy Baja",'Mapa final'!$K$53="Menor"),CONCATENATE("R",'Mapa final'!$A$53),"")</f>
        <v/>
      </c>
      <c r="Q43" s="335"/>
      <c r="R43" s="335" t="str">
        <f>IF(AND('Mapa final'!$H$59="Muy Baja",'Mapa final'!$K$59="Menor"),CONCATENATE("R",'Mapa final'!$A$59),"")</f>
        <v/>
      </c>
      <c r="S43" s="335"/>
      <c r="T43" s="335" t="str">
        <f>IF(AND('Mapa final'!$H$65="Muy Baja",'Mapa final'!$K$65="Menor"),CONCATENATE("R",'Mapa final'!$A$65),"")</f>
        <v/>
      </c>
      <c r="U43" s="336"/>
      <c r="V43" s="326" t="str">
        <f>IF(AND('Mapa final'!$H$53="Muy Baja",'Mapa final'!$K$53="Moderado"),CONCATENATE("R",'Mapa final'!$A$53),"")</f>
        <v/>
      </c>
      <c r="W43" s="327"/>
      <c r="X43" s="327" t="str">
        <f>IF(AND('Mapa final'!$H$59="Muy Baja",'Mapa final'!$K$59="Moderado"),CONCATENATE("R",'Mapa final'!$A$59),"")</f>
        <v/>
      </c>
      <c r="Y43" s="327"/>
      <c r="Z43" s="327" t="str">
        <f>IF(AND('Mapa final'!$H$65="Muy Baja",'Mapa final'!$K$65="Moderado"),CONCATENATE("R",'Mapa final'!$A$65),"")</f>
        <v/>
      </c>
      <c r="AA43" s="328"/>
      <c r="AB43" s="309" t="str">
        <f>IF(AND('Mapa final'!$H$53="Muy Baja",'Mapa final'!$K$53="Mayor"),CONCATENATE("R",'Mapa final'!$A$53),"")</f>
        <v/>
      </c>
      <c r="AC43" s="306"/>
      <c r="AD43" s="304" t="str">
        <f>IF(AND('Mapa final'!$H$59="Muy Baja",'Mapa final'!$K$59="Mayor"),CONCATENATE("R",'Mapa final'!$A$59),"")</f>
        <v/>
      </c>
      <c r="AE43" s="304"/>
      <c r="AF43" s="304" t="str">
        <f>IF(AND('Mapa final'!$H$65="Muy Baja",'Mapa final'!$K$65="Mayor"),CONCATENATE("R",'Mapa final'!$A$65),"")</f>
        <v/>
      </c>
      <c r="AG43" s="305"/>
      <c r="AH43" s="317" t="str">
        <f>IF(AND('Mapa final'!$H$53="Muy Baja",'Mapa final'!$K$53="Catastrófico"),CONCATENATE("R",'Mapa final'!$A$53),"")</f>
        <v/>
      </c>
      <c r="AI43" s="318"/>
      <c r="AJ43" s="318" t="str">
        <f>IF(AND('Mapa final'!$H$59="Muy Baja",'Mapa final'!$K$59="Catastrófico"),CONCATENATE("R",'Mapa final'!$A$59),"")</f>
        <v/>
      </c>
      <c r="AK43" s="318"/>
      <c r="AL43" s="318" t="str">
        <f>IF(AND('Mapa final'!$H$65="Muy Baja",'Mapa final'!$K$65="Catastrófico"),CONCATENATE("R",'Mapa final'!$A$65),"")</f>
        <v/>
      </c>
      <c r="AM43" s="319"/>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row>
    <row r="44" spans="1:80" ht="15" thickBot="1" x14ac:dyDescent="0.35">
      <c r="A44" s="50"/>
      <c r="B44" s="257"/>
      <c r="C44" s="257"/>
      <c r="D44" s="258"/>
      <c r="E44" s="301"/>
      <c r="F44" s="302"/>
      <c r="G44" s="302"/>
      <c r="H44" s="302"/>
      <c r="I44" s="303"/>
      <c r="J44" s="338"/>
      <c r="K44" s="339"/>
      <c r="L44" s="339"/>
      <c r="M44" s="339"/>
      <c r="N44" s="339"/>
      <c r="O44" s="340"/>
      <c r="P44" s="338"/>
      <c r="Q44" s="339"/>
      <c r="R44" s="339"/>
      <c r="S44" s="339"/>
      <c r="T44" s="339"/>
      <c r="U44" s="340"/>
      <c r="V44" s="329"/>
      <c r="W44" s="330"/>
      <c r="X44" s="330"/>
      <c r="Y44" s="330"/>
      <c r="Z44" s="330"/>
      <c r="AA44" s="331"/>
      <c r="AB44" s="314"/>
      <c r="AC44" s="315"/>
      <c r="AD44" s="315"/>
      <c r="AE44" s="315"/>
      <c r="AF44" s="315"/>
      <c r="AG44" s="316"/>
      <c r="AH44" s="320"/>
      <c r="AI44" s="321"/>
      <c r="AJ44" s="321"/>
      <c r="AK44" s="321"/>
      <c r="AL44" s="321"/>
      <c r="AM44" s="322"/>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row>
    <row r="45" spans="1:80" x14ac:dyDescent="0.3">
      <c r="A45" s="50"/>
      <c r="B45" s="50"/>
      <c r="C45" s="50"/>
      <c r="D45" s="50"/>
      <c r="E45" s="50"/>
      <c r="F45" s="50"/>
      <c r="G45" s="50"/>
      <c r="H45" s="50"/>
      <c r="I45" s="50"/>
      <c r="J45" s="295" t="s">
        <v>110</v>
      </c>
      <c r="K45" s="296"/>
      <c r="L45" s="296"/>
      <c r="M45" s="296"/>
      <c r="N45" s="296"/>
      <c r="O45" s="297"/>
      <c r="P45" s="295" t="s">
        <v>109</v>
      </c>
      <c r="Q45" s="296"/>
      <c r="R45" s="296"/>
      <c r="S45" s="296"/>
      <c r="T45" s="296"/>
      <c r="U45" s="297"/>
      <c r="V45" s="295" t="s">
        <v>108</v>
      </c>
      <c r="W45" s="296"/>
      <c r="X45" s="296"/>
      <c r="Y45" s="296"/>
      <c r="Z45" s="296"/>
      <c r="AA45" s="297"/>
      <c r="AB45" s="295" t="s">
        <v>107</v>
      </c>
      <c r="AC45" s="313"/>
      <c r="AD45" s="296"/>
      <c r="AE45" s="296"/>
      <c r="AF45" s="296"/>
      <c r="AG45" s="297"/>
      <c r="AH45" s="295" t="s">
        <v>106</v>
      </c>
      <c r="AI45" s="296"/>
      <c r="AJ45" s="296"/>
      <c r="AK45" s="296"/>
      <c r="AL45" s="296"/>
      <c r="AM45" s="297"/>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row>
    <row r="46" spans="1:80" x14ac:dyDescent="0.3">
      <c r="A46" s="50"/>
      <c r="B46" s="50"/>
      <c r="C46" s="50"/>
      <c r="D46" s="50"/>
      <c r="E46" s="50"/>
      <c r="F46" s="50"/>
      <c r="G46" s="50"/>
      <c r="H46" s="50"/>
      <c r="I46" s="50"/>
      <c r="J46" s="298"/>
      <c r="K46" s="299"/>
      <c r="L46" s="299"/>
      <c r="M46" s="299"/>
      <c r="N46" s="299"/>
      <c r="O46" s="300"/>
      <c r="P46" s="298"/>
      <c r="Q46" s="299"/>
      <c r="R46" s="299"/>
      <c r="S46" s="299"/>
      <c r="T46" s="299"/>
      <c r="U46" s="300"/>
      <c r="V46" s="298"/>
      <c r="W46" s="299"/>
      <c r="X46" s="299"/>
      <c r="Y46" s="299"/>
      <c r="Z46" s="299"/>
      <c r="AA46" s="300"/>
      <c r="AB46" s="298"/>
      <c r="AC46" s="299"/>
      <c r="AD46" s="299"/>
      <c r="AE46" s="299"/>
      <c r="AF46" s="299"/>
      <c r="AG46" s="300"/>
      <c r="AH46" s="298"/>
      <c r="AI46" s="299"/>
      <c r="AJ46" s="299"/>
      <c r="AK46" s="299"/>
      <c r="AL46" s="299"/>
      <c r="AM46" s="30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row>
    <row r="47" spans="1:80" x14ac:dyDescent="0.3">
      <c r="A47" s="50"/>
      <c r="B47" s="50"/>
      <c r="C47" s="50"/>
      <c r="D47" s="50"/>
      <c r="E47" s="50"/>
      <c r="F47" s="50"/>
      <c r="G47" s="50"/>
      <c r="H47" s="50"/>
      <c r="I47" s="50"/>
      <c r="J47" s="298"/>
      <c r="K47" s="299"/>
      <c r="L47" s="299"/>
      <c r="M47" s="299"/>
      <c r="N47" s="299"/>
      <c r="O47" s="300"/>
      <c r="P47" s="298"/>
      <c r="Q47" s="299"/>
      <c r="R47" s="299"/>
      <c r="S47" s="299"/>
      <c r="T47" s="299"/>
      <c r="U47" s="300"/>
      <c r="V47" s="298"/>
      <c r="W47" s="299"/>
      <c r="X47" s="299"/>
      <c r="Y47" s="299"/>
      <c r="Z47" s="299"/>
      <c r="AA47" s="300"/>
      <c r="AB47" s="298"/>
      <c r="AC47" s="299"/>
      <c r="AD47" s="299"/>
      <c r="AE47" s="299"/>
      <c r="AF47" s="299"/>
      <c r="AG47" s="300"/>
      <c r="AH47" s="298"/>
      <c r="AI47" s="299"/>
      <c r="AJ47" s="299"/>
      <c r="AK47" s="299"/>
      <c r="AL47" s="299"/>
      <c r="AM47" s="30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row>
    <row r="48" spans="1:80" x14ac:dyDescent="0.3">
      <c r="A48" s="50"/>
      <c r="B48" s="50"/>
      <c r="C48" s="50"/>
      <c r="D48" s="50"/>
      <c r="E48" s="50"/>
      <c r="F48" s="50"/>
      <c r="G48" s="50"/>
      <c r="H48" s="50"/>
      <c r="I48" s="50"/>
      <c r="J48" s="298"/>
      <c r="K48" s="299"/>
      <c r="L48" s="299"/>
      <c r="M48" s="299"/>
      <c r="N48" s="299"/>
      <c r="O48" s="300"/>
      <c r="P48" s="298"/>
      <c r="Q48" s="299"/>
      <c r="R48" s="299"/>
      <c r="S48" s="299"/>
      <c r="T48" s="299"/>
      <c r="U48" s="300"/>
      <c r="V48" s="298"/>
      <c r="W48" s="299"/>
      <c r="X48" s="299"/>
      <c r="Y48" s="299"/>
      <c r="Z48" s="299"/>
      <c r="AA48" s="300"/>
      <c r="AB48" s="298"/>
      <c r="AC48" s="299"/>
      <c r="AD48" s="299"/>
      <c r="AE48" s="299"/>
      <c r="AF48" s="299"/>
      <c r="AG48" s="300"/>
      <c r="AH48" s="298"/>
      <c r="AI48" s="299"/>
      <c r="AJ48" s="299"/>
      <c r="AK48" s="299"/>
      <c r="AL48" s="299"/>
      <c r="AM48" s="30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row>
    <row r="49" spans="1:80" x14ac:dyDescent="0.3">
      <c r="A49" s="50"/>
      <c r="B49" s="50"/>
      <c r="C49" s="50"/>
      <c r="D49" s="50"/>
      <c r="E49" s="50"/>
      <c r="F49" s="50"/>
      <c r="G49" s="50"/>
      <c r="H49" s="50"/>
      <c r="I49" s="50"/>
      <c r="J49" s="298"/>
      <c r="K49" s="299"/>
      <c r="L49" s="299"/>
      <c r="M49" s="299"/>
      <c r="N49" s="299"/>
      <c r="O49" s="300"/>
      <c r="P49" s="298"/>
      <c r="Q49" s="299"/>
      <c r="R49" s="299"/>
      <c r="S49" s="299"/>
      <c r="T49" s="299"/>
      <c r="U49" s="300"/>
      <c r="V49" s="298"/>
      <c r="W49" s="299"/>
      <c r="X49" s="299"/>
      <c r="Y49" s="299"/>
      <c r="Z49" s="299"/>
      <c r="AA49" s="300"/>
      <c r="AB49" s="298"/>
      <c r="AC49" s="299"/>
      <c r="AD49" s="299"/>
      <c r="AE49" s="299"/>
      <c r="AF49" s="299"/>
      <c r="AG49" s="300"/>
      <c r="AH49" s="298"/>
      <c r="AI49" s="299"/>
      <c r="AJ49" s="299"/>
      <c r="AK49" s="299"/>
      <c r="AL49" s="299"/>
      <c r="AM49" s="30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row>
    <row r="50" spans="1:80" ht="15" thickBot="1" x14ac:dyDescent="0.35">
      <c r="A50" s="50"/>
      <c r="B50" s="50"/>
      <c r="C50" s="50"/>
      <c r="D50" s="50"/>
      <c r="E50" s="50"/>
      <c r="F50" s="50"/>
      <c r="G50" s="50"/>
      <c r="H50" s="50"/>
      <c r="I50" s="50"/>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row>
    <row r="51" spans="1:80" x14ac:dyDescent="0.3">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row>
    <row r="52" spans="1:80" ht="15" customHeight="1" x14ac:dyDescent="0.3">
      <c r="A52" s="50"/>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row>
    <row r="53" spans="1:80" ht="15" customHeight="1" x14ac:dyDescent="0.3">
      <c r="A53" s="50"/>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row>
    <row r="54" spans="1:80" x14ac:dyDescent="0.3">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row>
    <row r="55" spans="1:80" x14ac:dyDescent="0.3">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row>
    <row r="56" spans="1:80" x14ac:dyDescent="0.3">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row>
    <row r="57" spans="1:80" x14ac:dyDescent="0.3">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row>
    <row r="58" spans="1:80" x14ac:dyDescent="0.3">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row>
    <row r="59" spans="1:80" x14ac:dyDescent="0.3">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row>
    <row r="60" spans="1:80" x14ac:dyDescent="0.3">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row>
    <row r="61" spans="1:80" x14ac:dyDescent="0.3">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row>
    <row r="62" spans="1:80" x14ac:dyDescent="0.3">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row>
    <row r="63" spans="1:80" x14ac:dyDescent="0.3">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row>
    <row r="64" spans="1:80" x14ac:dyDescent="0.3">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row>
    <row r="65" spans="1:80" x14ac:dyDescent="0.3">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row>
    <row r="66" spans="1:80"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row>
    <row r="67" spans="1:80" x14ac:dyDescent="0.3">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row>
    <row r="68" spans="1:80" x14ac:dyDescent="0.3">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row>
    <row r="69" spans="1:80" x14ac:dyDescent="0.3">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row>
    <row r="70" spans="1:80" x14ac:dyDescent="0.3">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row>
    <row r="71" spans="1:80" x14ac:dyDescent="0.3">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row>
    <row r="72" spans="1:80" x14ac:dyDescent="0.3">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row>
    <row r="73" spans="1:80"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row>
    <row r="74" spans="1:80"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row>
    <row r="75" spans="1:80"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row>
    <row r="76" spans="1:80"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row>
    <row r="77" spans="1:80"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row>
    <row r="78" spans="1:80"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row>
    <row r="79" spans="1:80"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row>
    <row r="80" spans="1:80"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row>
    <row r="81" spans="1:63"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row>
    <row r="82" spans="1:63"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row>
    <row r="83" spans="1:63"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row>
    <row r="84" spans="1:63"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row>
    <row r="85" spans="1:63"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row>
    <row r="86" spans="1:63"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row>
    <row r="87" spans="1:63"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row>
    <row r="88" spans="1:63"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row>
    <row r="89" spans="1:63"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row>
    <row r="90" spans="1:63"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row>
    <row r="91" spans="1:63"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row>
    <row r="92" spans="1:63"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row>
    <row r="93" spans="1:63"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row>
    <row r="94" spans="1:63"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row>
    <row r="95" spans="1:63"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row>
    <row r="96" spans="1:63" x14ac:dyDescent="0.3">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row>
    <row r="97" spans="1:63" x14ac:dyDescent="0.3">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row>
    <row r="98" spans="1:63" x14ac:dyDescent="0.3">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row>
    <row r="99" spans="1:63" x14ac:dyDescent="0.3">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row>
    <row r="100" spans="1:63" x14ac:dyDescent="0.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row>
    <row r="101" spans="1:63" x14ac:dyDescent="0.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row>
    <row r="102" spans="1:63" x14ac:dyDescent="0.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row>
    <row r="103" spans="1:63" x14ac:dyDescent="0.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row>
    <row r="104" spans="1:63" x14ac:dyDescent="0.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row>
    <row r="105" spans="1:63" x14ac:dyDescent="0.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row>
    <row r="106" spans="1:63" x14ac:dyDescent="0.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row>
    <row r="107" spans="1:63" x14ac:dyDescent="0.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row>
    <row r="108" spans="1:63" x14ac:dyDescent="0.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row>
    <row r="109" spans="1:63" x14ac:dyDescent="0.3">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row>
    <row r="110" spans="1:63" x14ac:dyDescent="0.3">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row>
    <row r="111" spans="1:63" x14ac:dyDescent="0.3">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row>
    <row r="112" spans="1:63" x14ac:dyDescent="0.3">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row>
    <row r="113" spans="1:63" x14ac:dyDescent="0.3">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row>
    <row r="114" spans="1:63" x14ac:dyDescent="0.3">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row>
    <row r="115" spans="1:63" x14ac:dyDescent="0.3">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row>
    <row r="116" spans="1:63" x14ac:dyDescent="0.3">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row>
    <row r="117" spans="1:63" x14ac:dyDescent="0.3">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row>
    <row r="118" spans="1:63" x14ac:dyDescent="0.3">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row>
    <row r="119" spans="1:63" x14ac:dyDescent="0.3">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row>
    <row r="120" spans="1:63" x14ac:dyDescent="0.3">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row>
    <row r="121" spans="1:63" x14ac:dyDescent="0.3">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row>
    <row r="122" spans="1:63" x14ac:dyDescent="0.3">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row>
    <row r="123" spans="1:63" x14ac:dyDescent="0.3">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row>
    <row r="124" spans="1:63" x14ac:dyDescent="0.3">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row>
    <row r="125" spans="1:63" x14ac:dyDescent="0.3">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row>
    <row r="126" spans="1:63" x14ac:dyDescent="0.3">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row>
    <row r="127" spans="1:63" x14ac:dyDescent="0.3">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row>
    <row r="128" spans="1:63" x14ac:dyDescent="0.3">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row>
    <row r="129" spans="2:63" x14ac:dyDescent="0.3">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row>
    <row r="130" spans="2:63" x14ac:dyDescent="0.3">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row>
    <row r="131" spans="2:63" x14ac:dyDescent="0.3">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row>
    <row r="132" spans="2:63" x14ac:dyDescent="0.3">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row>
    <row r="133" spans="2:63" x14ac:dyDescent="0.3">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row>
    <row r="134" spans="2:63" x14ac:dyDescent="0.3">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row>
    <row r="135" spans="2:63" x14ac:dyDescent="0.3">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row>
    <row r="136" spans="2:63" x14ac:dyDescent="0.3">
      <c r="B136" s="50"/>
      <c r="C136" s="50"/>
      <c r="D136" s="50"/>
      <c r="E136" s="50"/>
      <c r="F136" s="50"/>
      <c r="G136" s="50"/>
      <c r="H136" s="50"/>
      <c r="I136" s="50"/>
    </row>
    <row r="137" spans="2:63" x14ac:dyDescent="0.3">
      <c r="B137" s="50"/>
      <c r="C137" s="50"/>
      <c r="D137" s="50"/>
      <c r="E137" s="50"/>
      <c r="F137" s="50"/>
      <c r="G137" s="50"/>
      <c r="H137" s="50"/>
      <c r="I137" s="50"/>
    </row>
    <row r="138" spans="2:63" x14ac:dyDescent="0.3">
      <c r="B138" s="50"/>
      <c r="C138" s="50"/>
      <c r="D138" s="50"/>
      <c r="E138" s="50"/>
      <c r="F138" s="50"/>
      <c r="G138" s="50"/>
      <c r="H138" s="50"/>
      <c r="I138" s="50"/>
    </row>
    <row r="139" spans="2:63" x14ac:dyDescent="0.3">
      <c r="B139" s="50"/>
      <c r="C139" s="50"/>
      <c r="D139" s="50"/>
      <c r="E139" s="50"/>
      <c r="F139" s="50"/>
      <c r="G139" s="50"/>
      <c r="H139" s="50"/>
      <c r="I139" s="50"/>
    </row>
  </sheetData>
  <mergeCells count="317">
    <mergeCell ref="B2:I4"/>
    <mergeCell ref="P41:Q42"/>
    <mergeCell ref="R41:S42"/>
    <mergeCell ref="T41:U42"/>
    <mergeCell ref="P43:Q44"/>
    <mergeCell ref="R43:S44"/>
    <mergeCell ref="T43:U44"/>
    <mergeCell ref="P37:Q38"/>
    <mergeCell ref="R37:S38"/>
    <mergeCell ref="T37:U38"/>
    <mergeCell ref="P39:Q40"/>
    <mergeCell ref="R39:S40"/>
    <mergeCell ref="T39:U40"/>
    <mergeCell ref="J41:K42"/>
    <mergeCell ref="L41:M42"/>
    <mergeCell ref="N41:O42"/>
    <mergeCell ref="J43:K44"/>
    <mergeCell ref="L43:M44"/>
    <mergeCell ref="N43:O44"/>
    <mergeCell ref="J37:K38"/>
    <mergeCell ref="L37:M38"/>
    <mergeCell ref="N37:O38"/>
    <mergeCell ref="J39:K40"/>
    <mergeCell ref="L39:M40"/>
    <mergeCell ref="N39:O40"/>
    <mergeCell ref="J33:K34"/>
    <mergeCell ref="L33:M34"/>
    <mergeCell ref="N33:O34"/>
    <mergeCell ref="J35:K36"/>
    <mergeCell ref="L35:M36"/>
    <mergeCell ref="N35:O36"/>
    <mergeCell ref="J29:K30"/>
    <mergeCell ref="L29:M30"/>
    <mergeCell ref="N29:O30"/>
    <mergeCell ref="J31:K32"/>
    <mergeCell ref="L31:M32"/>
    <mergeCell ref="N31:O32"/>
    <mergeCell ref="V41:W42"/>
    <mergeCell ref="X41:Y42"/>
    <mergeCell ref="Z41:AA42"/>
    <mergeCell ref="V43:W44"/>
    <mergeCell ref="X43:Y44"/>
    <mergeCell ref="Z43:AA44"/>
    <mergeCell ref="V37:W38"/>
    <mergeCell ref="X37:Y38"/>
    <mergeCell ref="Z37:AA38"/>
    <mergeCell ref="V39:W40"/>
    <mergeCell ref="X39:Y40"/>
    <mergeCell ref="Z39:AA40"/>
    <mergeCell ref="P33:Q34"/>
    <mergeCell ref="R33:S34"/>
    <mergeCell ref="T33:U34"/>
    <mergeCell ref="P35:Q36"/>
    <mergeCell ref="R35:S36"/>
    <mergeCell ref="T35:U36"/>
    <mergeCell ref="P29:Q30"/>
    <mergeCell ref="R29:S30"/>
    <mergeCell ref="T29:U30"/>
    <mergeCell ref="P31:Q32"/>
    <mergeCell ref="R31:S32"/>
    <mergeCell ref="T31:U32"/>
    <mergeCell ref="V33:W34"/>
    <mergeCell ref="X33:Y34"/>
    <mergeCell ref="Z33:AA34"/>
    <mergeCell ref="V35:W36"/>
    <mergeCell ref="X35:Y36"/>
    <mergeCell ref="Z35:AA36"/>
    <mergeCell ref="V29:W30"/>
    <mergeCell ref="X29:Y30"/>
    <mergeCell ref="Z29:AA30"/>
    <mergeCell ref="V31:W32"/>
    <mergeCell ref="X31:Y32"/>
    <mergeCell ref="Z31:AA32"/>
    <mergeCell ref="V25:W26"/>
    <mergeCell ref="X25:Y26"/>
    <mergeCell ref="Z25:AA26"/>
    <mergeCell ref="V27:W28"/>
    <mergeCell ref="X27:Y28"/>
    <mergeCell ref="Z27:AA28"/>
    <mergeCell ref="V21:W22"/>
    <mergeCell ref="X21:Y22"/>
    <mergeCell ref="Z21:AA22"/>
    <mergeCell ref="V23:W24"/>
    <mergeCell ref="X23:Y24"/>
    <mergeCell ref="Z23:AA24"/>
    <mergeCell ref="P25:Q26"/>
    <mergeCell ref="R25:S26"/>
    <mergeCell ref="T25:U26"/>
    <mergeCell ref="P27:Q28"/>
    <mergeCell ref="R27:S28"/>
    <mergeCell ref="T27:U28"/>
    <mergeCell ref="P21:Q22"/>
    <mergeCell ref="R21:S22"/>
    <mergeCell ref="T21:U22"/>
    <mergeCell ref="P23:Q24"/>
    <mergeCell ref="R23:S24"/>
    <mergeCell ref="T23:U24"/>
    <mergeCell ref="J25:K26"/>
    <mergeCell ref="L25:M26"/>
    <mergeCell ref="N25:O26"/>
    <mergeCell ref="J27:K28"/>
    <mergeCell ref="L27:M28"/>
    <mergeCell ref="N27:O28"/>
    <mergeCell ref="J21:K22"/>
    <mergeCell ref="L21:M22"/>
    <mergeCell ref="N21:O22"/>
    <mergeCell ref="J23:K24"/>
    <mergeCell ref="L23:M24"/>
    <mergeCell ref="N23:O24"/>
    <mergeCell ref="P17:Q18"/>
    <mergeCell ref="R17:S18"/>
    <mergeCell ref="T17:U18"/>
    <mergeCell ref="P19:Q20"/>
    <mergeCell ref="R19:S20"/>
    <mergeCell ref="T19:U20"/>
    <mergeCell ref="P13:Q14"/>
    <mergeCell ref="R13:S14"/>
    <mergeCell ref="T13:U14"/>
    <mergeCell ref="P15:Q16"/>
    <mergeCell ref="R15:S16"/>
    <mergeCell ref="T15:U16"/>
    <mergeCell ref="J17:K18"/>
    <mergeCell ref="L17:M18"/>
    <mergeCell ref="N17:O18"/>
    <mergeCell ref="J19:K20"/>
    <mergeCell ref="L19:M20"/>
    <mergeCell ref="N19:O20"/>
    <mergeCell ref="J13:K14"/>
    <mergeCell ref="L13:M14"/>
    <mergeCell ref="N13:O14"/>
    <mergeCell ref="J15:K16"/>
    <mergeCell ref="L15:M16"/>
    <mergeCell ref="N15:O16"/>
    <mergeCell ref="AH41:AI42"/>
    <mergeCell ref="AJ41:AK42"/>
    <mergeCell ref="AL41:AM42"/>
    <mergeCell ref="AH43:AI44"/>
    <mergeCell ref="AJ43:AK44"/>
    <mergeCell ref="AL43:AM44"/>
    <mergeCell ref="AH37:AI38"/>
    <mergeCell ref="AJ37:AK38"/>
    <mergeCell ref="AL37:AM38"/>
    <mergeCell ref="AH39:AI40"/>
    <mergeCell ref="AJ39:AK40"/>
    <mergeCell ref="AL39:AM40"/>
    <mergeCell ref="AH33:AI34"/>
    <mergeCell ref="AJ33:AK34"/>
    <mergeCell ref="AL33:AM34"/>
    <mergeCell ref="AH35:AI36"/>
    <mergeCell ref="AJ35:AK36"/>
    <mergeCell ref="AL35:AM36"/>
    <mergeCell ref="AH29:AI30"/>
    <mergeCell ref="AJ29:AK30"/>
    <mergeCell ref="AL29:AM30"/>
    <mergeCell ref="AH31:AI32"/>
    <mergeCell ref="AJ31:AK32"/>
    <mergeCell ref="AL31:AM32"/>
    <mergeCell ref="AH25:AI26"/>
    <mergeCell ref="AJ25:AK26"/>
    <mergeCell ref="AL25:AM26"/>
    <mergeCell ref="AH27:AI28"/>
    <mergeCell ref="AJ27:AK28"/>
    <mergeCell ref="AL27:AM28"/>
    <mergeCell ref="AH21:AI22"/>
    <mergeCell ref="AJ21:AK22"/>
    <mergeCell ref="AL21:AM22"/>
    <mergeCell ref="AH23:AI24"/>
    <mergeCell ref="AJ23:AK24"/>
    <mergeCell ref="AL23:AM24"/>
    <mergeCell ref="AH17:AI18"/>
    <mergeCell ref="AJ17:AK18"/>
    <mergeCell ref="AL17:AM18"/>
    <mergeCell ref="AH19:AI20"/>
    <mergeCell ref="AJ19:AK20"/>
    <mergeCell ref="AL19:AM20"/>
    <mergeCell ref="AH13:AI14"/>
    <mergeCell ref="AJ13:AK14"/>
    <mergeCell ref="AL13:AM14"/>
    <mergeCell ref="AH15:AI16"/>
    <mergeCell ref="AJ15:AK16"/>
    <mergeCell ref="AL15:AM16"/>
    <mergeCell ref="AH9:AI10"/>
    <mergeCell ref="AJ9:AK10"/>
    <mergeCell ref="AL9:AM10"/>
    <mergeCell ref="AH11:AI12"/>
    <mergeCell ref="AJ11:AK12"/>
    <mergeCell ref="AL11:AM12"/>
    <mergeCell ref="AH5:AI6"/>
    <mergeCell ref="AJ5:AK6"/>
    <mergeCell ref="AL5:AM6"/>
    <mergeCell ref="AH7:AI8"/>
    <mergeCell ref="AJ7:AK8"/>
    <mergeCell ref="AL7:AM8"/>
    <mergeCell ref="AB41:AC42"/>
    <mergeCell ref="AD41:AE42"/>
    <mergeCell ref="AF41:AG42"/>
    <mergeCell ref="AB43:AC44"/>
    <mergeCell ref="AD43:AE44"/>
    <mergeCell ref="AF43:AG44"/>
    <mergeCell ref="AB37:AC38"/>
    <mergeCell ref="AD37:AE38"/>
    <mergeCell ref="AF37:AG38"/>
    <mergeCell ref="AB39:AC40"/>
    <mergeCell ref="AD39:AE40"/>
    <mergeCell ref="AF39:AG40"/>
    <mergeCell ref="AB33:AC34"/>
    <mergeCell ref="AD33:AE34"/>
    <mergeCell ref="AF33:AG34"/>
    <mergeCell ref="AB35:AC36"/>
    <mergeCell ref="AD35:AE36"/>
    <mergeCell ref="AF35:AG36"/>
    <mergeCell ref="AB29:AC30"/>
    <mergeCell ref="AD29:AE30"/>
    <mergeCell ref="AF29:AG30"/>
    <mergeCell ref="AB31:AC32"/>
    <mergeCell ref="AD31:AE32"/>
    <mergeCell ref="AF31:AG32"/>
    <mergeCell ref="AB25:AC26"/>
    <mergeCell ref="AD25:AE26"/>
    <mergeCell ref="AF25:AG26"/>
    <mergeCell ref="AB27:AC28"/>
    <mergeCell ref="AD27:AE28"/>
    <mergeCell ref="AF27:AG28"/>
    <mergeCell ref="AB21:AC22"/>
    <mergeCell ref="AD21:AE22"/>
    <mergeCell ref="AF21:AG22"/>
    <mergeCell ref="AB23:AC24"/>
    <mergeCell ref="AD23:AE24"/>
    <mergeCell ref="AF23:AG24"/>
    <mergeCell ref="AB13:AC14"/>
    <mergeCell ref="AD13:AE14"/>
    <mergeCell ref="AF13:AG14"/>
    <mergeCell ref="AB15:AC16"/>
    <mergeCell ref="AD15:AE16"/>
    <mergeCell ref="AF15:AG16"/>
    <mergeCell ref="V19:W20"/>
    <mergeCell ref="X19:Y20"/>
    <mergeCell ref="Z19:AA20"/>
    <mergeCell ref="V13:W14"/>
    <mergeCell ref="X13:Y14"/>
    <mergeCell ref="Z13:AA14"/>
    <mergeCell ref="V15:W16"/>
    <mergeCell ref="X15:Y16"/>
    <mergeCell ref="Z15:AA16"/>
    <mergeCell ref="AB17:AC18"/>
    <mergeCell ref="AD17:AE18"/>
    <mergeCell ref="V17:W18"/>
    <mergeCell ref="X17:Y18"/>
    <mergeCell ref="Z17:AA18"/>
    <mergeCell ref="AF17:AG18"/>
    <mergeCell ref="AB19:AC20"/>
    <mergeCell ref="AD19:AE20"/>
    <mergeCell ref="AF19:AG20"/>
    <mergeCell ref="AF5:AG6"/>
    <mergeCell ref="AB7:AC8"/>
    <mergeCell ref="AD7:AE8"/>
    <mergeCell ref="AF7:AG8"/>
    <mergeCell ref="AB9:AC10"/>
    <mergeCell ref="AD9:AE10"/>
    <mergeCell ref="AF9:AG10"/>
    <mergeCell ref="Z9:AA10"/>
    <mergeCell ref="V11:W12"/>
    <mergeCell ref="X11:Y12"/>
    <mergeCell ref="Z11:AA12"/>
    <mergeCell ref="AB5:AC6"/>
    <mergeCell ref="AD5:AE6"/>
    <mergeCell ref="AB11:AC12"/>
    <mergeCell ref="AD11:AE12"/>
    <mergeCell ref="AF11:AG12"/>
    <mergeCell ref="J2:AM4"/>
    <mergeCell ref="E5:I12"/>
    <mergeCell ref="E13:I20"/>
    <mergeCell ref="J5:K6"/>
    <mergeCell ref="AB45:AG50"/>
    <mergeCell ref="AH45:AM50"/>
    <mergeCell ref="P5:Q6"/>
    <mergeCell ref="P11:Q12"/>
    <mergeCell ref="L5:M6"/>
    <mergeCell ref="N5:O6"/>
    <mergeCell ref="N7:O8"/>
    <mergeCell ref="L7:M8"/>
    <mergeCell ref="J7:K8"/>
    <mergeCell ref="J9:K10"/>
    <mergeCell ref="E29:I36"/>
    <mergeCell ref="P7:Q8"/>
    <mergeCell ref="R7:S8"/>
    <mergeCell ref="T7:U8"/>
    <mergeCell ref="P9:Q10"/>
    <mergeCell ref="R9:S10"/>
    <mergeCell ref="T9:U10"/>
    <mergeCell ref="J11:K12"/>
    <mergeCell ref="L9:M10"/>
    <mergeCell ref="L11:M12"/>
    <mergeCell ref="B5:D44"/>
    <mergeCell ref="AO5:AT12"/>
    <mergeCell ref="AO13:AT20"/>
    <mergeCell ref="AO21:AT28"/>
    <mergeCell ref="AO29:AT36"/>
    <mergeCell ref="E21:I28"/>
    <mergeCell ref="E37:I44"/>
    <mergeCell ref="J45:O50"/>
    <mergeCell ref="P45:U50"/>
    <mergeCell ref="V45:AA50"/>
    <mergeCell ref="N9:O10"/>
    <mergeCell ref="N11:O12"/>
    <mergeCell ref="R11:S12"/>
    <mergeCell ref="T11:U12"/>
    <mergeCell ref="V5:W6"/>
    <mergeCell ref="X5:Y6"/>
    <mergeCell ref="Z5:AA6"/>
    <mergeCell ref="V7:W8"/>
    <mergeCell ref="X7:Y8"/>
    <mergeCell ref="Z7:AA8"/>
    <mergeCell ref="V9:W10"/>
    <mergeCell ref="X9:Y10"/>
    <mergeCell ref="R5:S6"/>
    <mergeCell ref="T5:U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showGridLines="0" zoomScale="33" zoomScaleNormal="33" workbookViewId="0">
      <pane xSplit="9" ySplit="5" topLeftCell="P6" activePane="bottomRight" state="frozen"/>
      <selection pane="topRight" activeCell="J1" sqref="J1"/>
      <selection pane="bottomLeft" activeCell="A6" sqref="A6"/>
      <selection pane="bottomRight" activeCell="S46" sqref="S46"/>
    </sheetView>
  </sheetViews>
  <sheetFormatPr baseColWidth="10" defaultRowHeight="14.4" x14ac:dyDescent="0.3"/>
  <cols>
    <col min="1" max="1" width="4.109375" customWidth="1"/>
    <col min="2" max="9" width="5.6640625" customWidth="1"/>
    <col min="10" max="39" width="15.6640625" customWidth="1"/>
    <col min="41" max="46" width="5.6640625" customWidth="1"/>
  </cols>
  <sheetData>
    <row r="1" spans="1:91" x14ac:dyDescent="0.3">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row>
    <row r="2" spans="1:91" ht="18" customHeight="1" x14ac:dyDescent="0.3">
      <c r="A2" s="50"/>
      <c r="B2" s="371" t="s">
        <v>156</v>
      </c>
      <c r="C2" s="371"/>
      <c r="D2" s="371"/>
      <c r="E2" s="371"/>
      <c r="F2" s="371"/>
      <c r="G2" s="371"/>
      <c r="H2" s="371"/>
      <c r="I2" s="371"/>
      <c r="J2" s="311" t="s">
        <v>2</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row>
    <row r="3" spans="1:91" ht="18" customHeight="1" x14ac:dyDescent="0.3">
      <c r="A3" s="50"/>
      <c r="B3" s="371"/>
      <c r="C3" s="371"/>
      <c r="D3" s="371"/>
      <c r="E3" s="371"/>
      <c r="F3" s="371"/>
      <c r="G3" s="371"/>
      <c r="H3" s="371"/>
      <c r="I3" s="37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row>
    <row r="4" spans="1:91" ht="18.75" customHeight="1" x14ac:dyDescent="0.3">
      <c r="A4" s="50"/>
      <c r="B4" s="371"/>
      <c r="C4" s="371"/>
      <c r="D4" s="371"/>
      <c r="E4" s="371"/>
      <c r="F4" s="371"/>
      <c r="G4" s="371"/>
      <c r="H4" s="371"/>
      <c r="I4" s="37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row>
    <row r="5" spans="1:91" ht="15" customHeight="1" thickBot="1" x14ac:dyDescent="0.35">
      <c r="A5" s="50"/>
      <c r="B5" s="371"/>
      <c r="C5" s="371"/>
      <c r="D5" s="371"/>
      <c r="E5" s="371"/>
      <c r="F5" s="371"/>
      <c r="G5" s="371"/>
      <c r="H5" s="371"/>
      <c r="I5" s="37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row>
    <row r="6" spans="1:91" ht="20.100000000000001" customHeight="1" x14ac:dyDescent="0.3">
      <c r="A6" s="50"/>
      <c r="B6" s="257" t="s">
        <v>4</v>
      </c>
      <c r="C6" s="257"/>
      <c r="D6" s="258"/>
      <c r="E6" s="354" t="s">
        <v>114</v>
      </c>
      <c r="F6" s="355"/>
      <c r="G6" s="355"/>
      <c r="H6" s="355"/>
      <c r="I6" s="372"/>
      <c r="J6" s="104" t="str">
        <f>IF(AND('Mapa final'!$X$11="Muy Alta",'Mapa final'!$Z$11="Leve"),CONCATENATE("R1C",'Mapa final'!$N$11),"")</f>
        <v/>
      </c>
      <c r="K6" s="105" t="str">
        <f>IF(AND('Mapa final'!$X$12="Muy Alta",'Mapa final'!$Z$12="Leve"),CONCATENATE("R1C",'Mapa final'!$N$12),"")</f>
        <v/>
      </c>
      <c r="L6" s="105" t="str">
        <f>IF(AND('Mapa final'!$X$13="Muy Alta",'Mapa final'!$Z$13="Leve"),CONCATENATE("R1C",'Mapa final'!$N$13),"")</f>
        <v/>
      </c>
      <c r="M6" s="105" t="str">
        <f>IF(AND('Mapa final'!$X$14="Muy Alta",'Mapa final'!$Z$14="Leve"),CONCATENATE("R1C",'Mapa final'!$N$14),"")</f>
        <v/>
      </c>
      <c r="N6" s="105" t="str">
        <f>IF(AND('Mapa final'!$X$15="Muy Alta",'Mapa final'!$Z$15="Leve"),CONCATENATE("R1C",'Mapa final'!$N$15),"")</f>
        <v/>
      </c>
      <c r="O6" s="106" t="str">
        <f>IF(AND('Mapa final'!$X$16="Muy Alta",'Mapa final'!$Z$16="Leve"),CONCATENATE("R1C",'Mapa final'!$N$16),"")</f>
        <v/>
      </c>
      <c r="P6" s="104" t="str">
        <f>IF(AND('Mapa final'!$X$11="Muy Alta",'Mapa final'!$Z$11="Menor"),CONCATENATE("R1C",'Mapa final'!$N$11),"")</f>
        <v/>
      </c>
      <c r="Q6" s="105" t="str">
        <f>IF(AND('Mapa final'!$X$12="Muy Alta",'Mapa final'!$Z$12="Menor"),CONCATENATE("R1C",'Mapa final'!$N$12),"")</f>
        <v/>
      </c>
      <c r="R6" s="105" t="str">
        <f>IF(AND('Mapa final'!$X$13="Muy Alta",'Mapa final'!$Z$13="Menor"),CONCATENATE("R1C",'Mapa final'!$N$13),"")</f>
        <v/>
      </c>
      <c r="S6" s="105" t="str">
        <f>IF(AND('Mapa final'!$X$14="Muy Alta",'Mapa final'!$Z$14="Menor"),CONCATENATE("R1C",'Mapa final'!$N$14),"")</f>
        <v/>
      </c>
      <c r="T6" s="105" t="str">
        <f>IF(AND('Mapa final'!$X$15="Muy Alta",'Mapa final'!$Z$15="Menor"),CONCATENATE("R1C",'Mapa final'!$N$15),"")</f>
        <v/>
      </c>
      <c r="U6" s="106" t="str">
        <f>IF(AND('Mapa final'!$X$16="Muy Alta",'Mapa final'!$Z$16="Menor"),CONCATENATE("R1C",'Mapa final'!$N$16),"")</f>
        <v/>
      </c>
      <c r="V6" s="104" t="str">
        <f>IF(AND('Mapa final'!$X$11="Muy Alta",'Mapa final'!$Z$11="Moderado"),CONCATENATE("R1C",'Mapa final'!$N$11),"")</f>
        <v/>
      </c>
      <c r="W6" s="105" t="str">
        <f>IF(AND('Mapa final'!$X$12="Muy Alta",'Mapa final'!$Z$12="Moderado"),CONCATENATE("R1C",'Mapa final'!$N$12),"")</f>
        <v/>
      </c>
      <c r="X6" s="105" t="str">
        <f>IF(AND('Mapa final'!$X$13="Muy Alta",'Mapa final'!$Z$13="Moderado"),CONCATENATE("R1C",'Mapa final'!$N$13),"")</f>
        <v/>
      </c>
      <c r="Y6" s="105" t="str">
        <f>IF(AND('Mapa final'!$X$14="Muy Alta",'Mapa final'!$Z$14="Moderado"),CONCATENATE("R1C",'Mapa final'!$N$14),"")</f>
        <v/>
      </c>
      <c r="Z6" s="105" t="str">
        <f>IF(AND('Mapa final'!$X$15="Muy Alta",'Mapa final'!$Z$15="Moderado"),CONCATENATE("R1C",'Mapa final'!$N$15),"")</f>
        <v/>
      </c>
      <c r="AA6" s="106" t="str">
        <f>IF(AND('Mapa final'!$X$16="Muy Alta",'Mapa final'!$Z$16="Moderado"),CONCATENATE("R1C",'Mapa final'!$N$16),"")</f>
        <v/>
      </c>
      <c r="AB6" s="104" t="str">
        <f>IF(AND('Mapa final'!$X$11="Muy Alta",'Mapa final'!$Z$11="Mayor"),CONCATENATE("R1C",'Mapa final'!$N$11),"")</f>
        <v/>
      </c>
      <c r="AC6" s="105" t="str">
        <f>IF(AND('Mapa final'!$X$12="Muy Alta",'Mapa final'!$Z$12="Mayor"),CONCATENATE("R1C",'Mapa final'!$N$12),"")</f>
        <v/>
      </c>
      <c r="AD6" s="105" t="str">
        <f>IF(AND('Mapa final'!$X$13="Muy Alta",'Mapa final'!$Z$13="Mayor"),CONCATENATE("R1C",'Mapa final'!$N$13),"")</f>
        <v/>
      </c>
      <c r="AE6" s="105" t="str">
        <f>IF(AND('Mapa final'!$X$14="Muy Alta",'Mapa final'!$Z$14="Mayor"),CONCATENATE("R1C",'Mapa final'!$N$14),"")</f>
        <v/>
      </c>
      <c r="AF6" s="105" t="str">
        <f>IF(AND('Mapa final'!$X$15="Muy Alta",'Mapa final'!$Z$15="Mayor"),CONCATENATE("R1C",'Mapa final'!$N$15),"")</f>
        <v/>
      </c>
      <c r="AG6" s="106" t="str">
        <f>IF(AND('Mapa final'!$X$16="Muy Alta",'Mapa final'!$Z$16="Mayor"),CONCATENATE("R1C",'Mapa final'!$N$16),"")</f>
        <v/>
      </c>
      <c r="AH6" s="115" t="str">
        <f>IF(AND('Mapa final'!$X$11="Muy Alta",'Mapa final'!$Z$11="Catastrófico"),CONCATENATE("R1C",'Mapa final'!$N$11),"")</f>
        <v/>
      </c>
      <c r="AI6" s="116" t="str">
        <f>IF(AND('Mapa final'!$X$12="Muy Alta",'Mapa final'!$Z$12="Catastrófico"),CONCATENATE("R1C",'Mapa final'!$N$12),"")</f>
        <v/>
      </c>
      <c r="AJ6" s="116" t="str">
        <f>IF(AND('Mapa final'!$X$13="Muy Alta",'Mapa final'!$Z$13="Catastrófico"),CONCATENATE("R1C",'Mapa final'!$N$13),"")</f>
        <v/>
      </c>
      <c r="AK6" s="116" t="str">
        <f>IF(AND('Mapa final'!$X$14="Muy Alta",'Mapa final'!$Z$14="Catastrófico"),CONCATENATE("R1C",'Mapa final'!$N$14),"")</f>
        <v/>
      </c>
      <c r="AL6" s="116" t="str">
        <f>IF(AND('Mapa final'!$X$15="Muy Alta",'Mapa final'!$Z$15="Catastrófico"),CONCATENATE("R1C",'Mapa final'!$N$15),"")</f>
        <v/>
      </c>
      <c r="AM6" s="117" t="str">
        <f>IF(AND('Mapa final'!$X$16="Muy Alta",'Mapa final'!$Z$16="Catastrófico"),CONCATENATE("R1C",'Mapa final'!$N$16),"")</f>
        <v/>
      </c>
      <c r="AN6" s="50"/>
      <c r="AO6" s="362" t="s">
        <v>78</v>
      </c>
      <c r="AP6" s="363"/>
      <c r="AQ6" s="363"/>
      <c r="AR6" s="363"/>
      <c r="AS6" s="363"/>
      <c r="AT6" s="364"/>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row>
    <row r="7" spans="1:91" ht="20.100000000000001" customHeight="1" x14ac:dyDescent="0.3">
      <c r="A7" s="50"/>
      <c r="B7" s="257"/>
      <c r="C7" s="257"/>
      <c r="D7" s="258"/>
      <c r="E7" s="358"/>
      <c r="F7" s="359"/>
      <c r="G7" s="359"/>
      <c r="H7" s="359"/>
      <c r="I7" s="373"/>
      <c r="J7" s="107" t="str">
        <f>IF(AND('Mapa final'!$X$17="Muy Alta",'Mapa final'!$Z$17="Leve"),CONCATENATE("R2C",'Mapa final'!$N$17),"")</f>
        <v/>
      </c>
      <c r="K7" s="108" t="str">
        <f>IF(AND('Mapa final'!$X$18="Muy Alta",'Mapa final'!$Z$18="Leve"),CONCATENATE("R2C",'Mapa final'!$N$18),"")</f>
        <v/>
      </c>
      <c r="L7" s="108" t="str">
        <f>IF(AND('Mapa final'!$X$19="Muy Alta",'Mapa final'!$Z$19="Leve"),CONCATENATE("R2C",'Mapa final'!$N$19),"")</f>
        <v/>
      </c>
      <c r="M7" s="108" t="str">
        <f>IF(AND('Mapa final'!$X$20="Muy Alta",'Mapa final'!$Z$20="Leve"),CONCATENATE("R2C",'Mapa final'!$N$20),"")</f>
        <v/>
      </c>
      <c r="N7" s="108" t="str">
        <f>IF(AND('Mapa final'!$X$21="Muy Alta",'Mapa final'!$Z$21="Leve"),CONCATENATE("R2C",'Mapa final'!$N$21),"")</f>
        <v/>
      </c>
      <c r="O7" s="109" t="str">
        <f>IF(AND('Mapa final'!$X$22="Muy Alta",'Mapa final'!$Z$22="Leve"),CONCATENATE("R2C",'Mapa final'!$N$22),"")</f>
        <v/>
      </c>
      <c r="P7" s="107" t="str">
        <f>IF(AND('Mapa final'!$X$17="Muy Alta",'Mapa final'!$Z$17="Menor"),CONCATENATE("R2C",'Mapa final'!$N$17),"")</f>
        <v/>
      </c>
      <c r="Q7" s="108" t="str">
        <f>IF(AND('Mapa final'!$X$18="Muy Alta",'Mapa final'!$Z$18="Menor"),CONCATENATE("R2C",'Mapa final'!$N$18),"")</f>
        <v/>
      </c>
      <c r="R7" s="108" t="str">
        <f>IF(AND('Mapa final'!$X$19="Muy Alta",'Mapa final'!$Z$19="Menor"),CONCATENATE("R2C",'Mapa final'!$N$19),"")</f>
        <v/>
      </c>
      <c r="S7" s="108" t="str">
        <f>IF(AND('Mapa final'!$X$20="Muy Alta",'Mapa final'!$Z$20="Menor"),CONCATENATE("R2C",'Mapa final'!$N$20),"")</f>
        <v/>
      </c>
      <c r="T7" s="108" t="str">
        <f>IF(AND('Mapa final'!$X$21="Muy Alta",'Mapa final'!$Z$21="Menor"),CONCATENATE("R2C",'Mapa final'!$N$21),"")</f>
        <v/>
      </c>
      <c r="U7" s="109" t="str">
        <f>IF(AND('Mapa final'!$X$22="Muy Alta",'Mapa final'!$Z$22="Menor"),CONCATENATE("R2C",'Mapa final'!$N$22),"")</f>
        <v/>
      </c>
      <c r="V7" s="107" t="str">
        <f>IF(AND('Mapa final'!$X$17="Muy Alta",'Mapa final'!$Z$17="Moderado"),CONCATENATE("R2C",'Mapa final'!$N$17),"")</f>
        <v/>
      </c>
      <c r="W7" s="108" t="str">
        <f>IF(AND('Mapa final'!$X$18="Muy Alta",'Mapa final'!$Z$18="Moderado"),CONCATENATE("R2C",'Mapa final'!$N$18),"")</f>
        <v/>
      </c>
      <c r="X7" s="108" t="str">
        <f>IF(AND('Mapa final'!$X$19="Muy Alta",'Mapa final'!$Z$19="Moderado"),CONCATENATE("R2C",'Mapa final'!$N$19),"")</f>
        <v/>
      </c>
      <c r="Y7" s="108" t="str">
        <f>IF(AND('Mapa final'!$X$20="Muy Alta",'Mapa final'!$Z$20="Moderado"),CONCATENATE("R2C",'Mapa final'!$N$20),"")</f>
        <v/>
      </c>
      <c r="Z7" s="108" t="str">
        <f>IF(AND('Mapa final'!$X$21="Muy Alta",'Mapa final'!$Z$21="Moderado"),CONCATENATE("R2C",'Mapa final'!$N$21),"")</f>
        <v/>
      </c>
      <c r="AA7" s="109" t="str">
        <f>IF(AND('Mapa final'!$X$22="Muy Alta",'Mapa final'!$Z$22="Moderado"),CONCATENATE("R2C",'Mapa final'!$N$22),"")</f>
        <v/>
      </c>
      <c r="AB7" s="107" t="str">
        <f>IF(AND('Mapa final'!$X$17="Muy Alta",'Mapa final'!$Z$17="Mayor"),CONCATENATE("R2C",'Mapa final'!$N$17),"")</f>
        <v/>
      </c>
      <c r="AC7" s="108" t="str">
        <f>IF(AND('Mapa final'!$X$18="Muy Alta",'Mapa final'!$Z$18="Mayor"),CONCATENATE("R2C",'Mapa final'!$N$18),"")</f>
        <v/>
      </c>
      <c r="AD7" s="108" t="str">
        <f>IF(AND('Mapa final'!$X$19="Muy Alta",'Mapa final'!$Z$19="Mayor"),CONCATENATE("R2C",'Mapa final'!$N$19),"")</f>
        <v/>
      </c>
      <c r="AE7" s="108" t="str">
        <f>IF(AND('Mapa final'!$X$20="Muy Alta",'Mapa final'!$Z$20="Mayor"),CONCATENATE("R2C",'Mapa final'!$N$20),"")</f>
        <v/>
      </c>
      <c r="AF7" s="108" t="str">
        <f>IF(AND('Mapa final'!$X$21="Muy Alta",'Mapa final'!$Z$21="Mayor"),CONCATENATE("R2C",'Mapa final'!$N$21),"")</f>
        <v/>
      </c>
      <c r="AG7" s="109" t="str">
        <f>IF(AND('Mapa final'!$X$22="Muy Alta",'Mapa final'!$Z$22="Mayor"),CONCATENATE("R2C",'Mapa final'!$N$22),"")</f>
        <v/>
      </c>
      <c r="AH7" s="118" t="str">
        <f>IF(AND('Mapa final'!$X$17="Muy Alta",'Mapa final'!$Z$17="Catastrófico"),CONCATENATE("R2C",'Mapa final'!$N$17),"")</f>
        <v/>
      </c>
      <c r="AI7" s="119" t="str">
        <f>IF(AND('Mapa final'!$X$18="Muy Alta",'Mapa final'!$Z$18="Catastrófico"),CONCATENATE("R2C",'Mapa final'!$N$18),"")</f>
        <v/>
      </c>
      <c r="AJ7" s="119" t="str">
        <f>IF(AND('Mapa final'!$X$19="Muy Alta",'Mapa final'!$Z$19="Catastrófico"),CONCATENATE("R2C",'Mapa final'!$N$19),"")</f>
        <v/>
      </c>
      <c r="AK7" s="119" t="str">
        <f>IF(AND('Mapa final'!$X$20="Muy Alta",'Mapa final'!$Z$20="Catastrófico"),CONCATENATE("R2C",'Mapa final'!$N$20),"")</f>
        <v/>
      </c>
      <c r="AL7" s="119" t="str">
        <f>IF(AND('Mapa final'!$X$21="Muy Alta",'Mapa final'!$Z$21="Catastrófico"),CONCATENATE("R2C",'Mapa final'!$N$21),"")</f>
        <v/>
      </c>
      <c r="AM7" s="120" t="str">
        <f>IF(AND('Mapa final'!$X$22="Muy Alta",'Mapa final'!$Z$22="Catastrófico"),CONCATENATE("R2C",'Mapa final'!$N$22),"")</f>
        <v/>
      </c>
      <c r="AN7" s="50"/>
      <c r="AO7" s="365"/>
      <c r="AP7" s="366"/>
      <c r="AQ7" s="366"/>
      <c r="AR7" s="366"/>
      <c r="AS7" s="366"/>
      <c r="AT7" s="367"/>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row>
    <row r="8" spans="1:91" ht="20.100000000000001" customHeight="1" x14ac:dyDescent="0.3">
      <c r="A8" s="50"/>
      <c r="B8" s="257"/>
      <c r="C8" s="257"/>
      <c r="D8" s="258"/>
      <c r="E8" s="358"/>
      <c r="F8" s="359"/>
      <c r="G8" s="359"/>
      <c r="H8" s="359"/>
      <c r="I8" s="373"/>
      <c r="J8" s="107" t="e">
        <f>IF(AND('Mapa final'!#REF!="Muy Alta",'Mapa final'!#REF!="Leve"),CONCATENATE("R3C",'Mapa final'!#REF!),"")</f>
        <v>#REF!</v>
      </c>
      <c r="K8" s="108" t="e">
        <f>IF(AND('Mapa final'!#REF!="Muy Alta",'Mapa final'!#REF!="Leve"),CONCATENATE("R3C",'Mapa final'!#REF!),"")</f>
        <v>#REF!</v>
      </c>
      <c r="L8" s="108" t="e">
        <f>IF(AND('Mapa final'!#REF!="Muy Alta",'Mapa final'!#REF!="Leve"),CONCATENATE("R3C",'Mapa final'!#REF!),"")</f>
        <v>#REF!</v>
      </c>
      <c r="M8" s="108" t="e">
        <f>IF(AND('Mapa final'!#REF!="Muy Alta",'Mapa final'!#REF!="Leve"),CONCATENATE("R3C",'Mapa final'!#REF!),"")</f>
        <v>#REF!</v>
      </c>
      <c r="N8" s="108" t="e">
        <f>IF(AND('Mapa final'!#REF!="Muy Alta",'Mapa final'!#REF!="Leve"),CONCATENATE("R3C",'Mapa final'!#REF!),"")</f>
        <v>#REF!</v>
      </c>
      <c r="O8" s="109" t="e">
        <f>IF(AND('Mapa final'!#REF!="Muy Alta",'Mapa final'!#REF!="Leve"),CONCATENATE("R3C",'Mapa final'!#REF!),"")</f>
        <v>#REF!</v>
      </c>
      <c r="P8" s="107" t="e">
        <f>IF(AND('Mapa final'!#REF!="Muy Alta",'Mapa final'!#REF!="Menor"),CONCATENATE("R3C",'Mapa final'!#REF!),"")</f>
        <v>#REF!</v>
      </c>
      <c r="Q8" s="108" t="e">
        <f>IF(AND('Mapa final'!#REF!="Muy Alta",'Mapa final'!#REF!="Menor"),CONCATENATE("R3C",'Mapa final'!#REF!),"")</f>
        <v>#REF!</v>
      </c>
      <c r="R8" s="108" t="e">
        <f>IF(AND('Mapa final'!#REF!="Muy Alta",'Mapa final'!#REF!="Menor"),CONCATENATE("R3C",'Mapa final'!#REF!),"")</f>
        <v>#REF!</v>
      </c>
      <c r="S8" s="108" t="e">
        <f>IF(AND('Mapa final'!#REF!="Muy Alta",'Mapa final'!#REF!="Menor"),CONCATENATE("R3C",'Mapa final'!#REF!),"")</f>
        <v>#REF!</v>
      </c>
      <c r="T8" s="108" t="e">
        <f>IF(AND('Mapa final'!#REF!="Muy Alta",'Mapa final'!#REF!="Menor"),CONCATENATE("R3C",'Mapa final'!#REF!),"")</f>
        <v>#REF!</v>
      </c>
      <c r="U8" s="109" t="e">
        <f>IF(AND('Mapa final'!#REF!="Muy Alta",'Mapa final'!#REF!="Menor"),CONCATENATE("R3C",'Mapa final'!#REF!),"")</f>
        <v>#REF!</v>
      </c>
      <c r="V8" s="107" t="e">
        <f>IF(AND('Mapa final'!#REF!="Muy Alta",'Mapa final'!#REF!="Moderado"),CONCATENATE("R3C",'Mapa final'!#REF!),"")</f>
        <v>#REF!</v>
      </c>
      <c r="W8" s="108" t="e">
        <f>IF(AND('Mapa final'!#REF!="Muy Alta",'Mapa final'!#REF!="Moderado"),CONCATENATE("R3C",'Mapa final'!#REF!),"")</f>
        <v>#REF!</v>
      </c>
      <c r="X8" s="108" t="e">
        <f>IF(AND('Mapa final'!#REF!="Muy Alta",'Mapa final'!#REF!="Moderado"),CONCATENATE("R3C",'Mapa final'!#REF!),"")</f>
        <v>#REF!</v>
      </c>
      <c r="Y8" s="108" t="e">
        <f>IF(AND('Mapa final'!#REF!="Muy Alta",'Mapa final'!#REF!="Moderado"),CONCATENATE("R3C",'Mapa final'!#REF!),"")</f>
        <v>#REF!</v>
      </c>
      <c r="Z8" s="108" t="e">
        <f>IF(AND('Mapa final'!#REF!="Muy Alta",'Mapa final'!#REF!="Moderado"),CONCATENATE("R3C",'Mapa final'!#REF!),"")</f>
        <v>#REF!</v>
      </c>
      <c r="AA8" s="109" t="e">
        <f>IF(AND('Mapa final'!#REF!="Muy Alta",'Mapa final'!#REF!="Moderado"),CONCATENATE("R3C",'Mapa final'!#REF!),"")</f>
        <v>#REF!</v>
      </c>
      <c r="AB8" s="107" t="e">
        <f>IF(AND('Mapa final'!#REF!="Muy Alta",'Mapa final'!#REF!="Mayor"),CONCATENATE("R3C",'Mapa final'!#REF!),"")</f>
        <v>#REF!</v>
      </c>
      <c r="AC8" s="108" t="e">
        <f>IF(AND('Mapa final'!#REF!="Muy Alta",'Mapa final'!#REF!="Mayor"),CONCATENATE("R3C",'Mapa final'!#REF!),"")</f>
        <v>#REF!</v>
      </c>
      <c r="AD8" s="108" t="e">
        <f>IF(AND('Mapa final'!#REF!="Muy Alta",'Mapa final'!#REF!="Mayor"),CONCATENATE("R3C",'Mapa final'!#REF!),"")</f>
        <v>#REF!</v>
      </c>
      <c r="AE8" s="108" t="e">
        <f>IF(AND('Mapa final'!#REF!="Muy Alta",'Mapa final'!#REF!="Mayor"),CONCATENATE("R3C",'Mapa final'!#REF!),"")</f>
        <v>#REF!</v>
      </c>
      <c r="AF8" s="108" t="e">
        <f>IF(AND('Mapa final'!#REF!="Muy Alta",'Mapa final'!#REF!="Mayor"),CONCATENATE("R3C",'Mapa final'!#REF!),"")</f>
        <v>#REF!</v>
      </c>
      <c r="AG8" s="109" t="e">
        <f>IF(AND('Mapa final'!#REF!="Muy Alta",'Mapa final'!#REF!="Mayor"),CONCATENATE("R3C",'Mapa final'!#REF!),"")</f>
        <v>#REF!</v>
      </c>
      <c r="AH8" s="118" t="e">
        <f>IF(AND('Mapa final'!#REF!="Muy Alta",'Mapa final'!#REF!="Catastrófico"),CONCATENATE("R3C",'Mapa final'!#REF!),"")</f>
        <v>#REF!</v>
      </c>
      <c r="AI8" s="119" t="e">
        <f>IF(AND('Mapa final'!#REF!="Muy Alta",'Mapa final'!#REF!="Catastrófico"),CONCATENATE("R3C",'Mapa final'!#REF!),"")</f>
        <v>#REF!</v>
      </c>
      <c r="AJ8" s="119" t="e">
        <f>IF(AND('Mapa final'!#REF!="Muy Alta",'Mapa final'!#REF!="Catastrófico"),CONCATENATE("R3C",'Mapa final'!#REF!),"")</f>
        <v>#REF!</v>
      </c>
      <c r="AK8" s="119" t="e">
        <f>IF(AND('Mapa final'!#REF!="Muy Alta",'Mapa final'!#REF!="Catastrófico"),CONCATENATE("R3C",'Mapa final'!#REF!),"")</f>
        <v>#REF!</v>
      </c>
      <c r="AL8" s="119" t="e">
        <f>IF(AND('Mapa final'!#REF!="Muy Alta",'Mapa final'!#REF!="Catastrófico"),CONCATENATE("R3C",'Mapa final'!#REF!),"")</f>
        <v>#REF!</v>
      </c>
      <c r="AM8" s="120" t="e">
        <f>IF(AND('Mapa final'!#REF!="Muy Alta",'Mapa final'!#REF!="Catastrófico"),CONCATENATE("R3C",'Mapa final'!#REF!),"")</f>
        <v>#REF!</v>
      </c>
      <c r="AN8" s="50"/>
      <c r="AO8" s="365"/>
      <c r="AP8" s="366"/>
      <c r="AQ8" s="366"/>
      <c r="AR8" s="366"/>
      <c r="AS8" s="366"/>
      <c r="AT8" s="367"/>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row>
    <row r="9" spans="1:91" ht="20.100000000000001" customHeight="1" x14ac:dyDescent="0.3">
      <c r="A9" s="50"/>
      <c r="B9" s="257"/>
      <c r="C9" s="257"/>
      <c r="D9" s="258"/>
      <c r="E9" s="358"/>
      <c r="F9" s="359"/>
      <c r="G9" s="359"/>
      <c r="H9" s="359"/>
      <c r="I9" s="373"/>
      <c r="J9" s="107" t="e">
        <f>IF(AND('Mapa final'!#REF!="Muy Alta",'Mapa final'!#REF!="Leve"),CONCATENATE("R4C",'Mapa final'!#REF!),"")</f>
        <v>#REF!</v>
      </c>
      <c r="K9" s="108" t="e">
        <f>IF(AND('Mapa final'!#REF!="Muy Alta",'Mapa final'!#REF!="Leve"),CONCATENATE("R4C",'Mapa final'!#REF!),"")</f>
        <v>#REF!</v>
      </c>
      <c r="L9" s="110" t="e">
        <f>IF(AND('Mapa final'!#REF!="Muy Alta",'Mapa final'!#REF!="Leve"),CONCATENATE("R4C",'Mapa final'!#REF!),"")</f>
        <v>#REF!</v>
      </c>
      <c r="M9" s="110" t="e">
        <f>IF(AND('Mapa final'!#REF!="Muy Alta",'Mapa final'!#REF!="Leve"),CONCATENATE("R4C",'Mapa final'!#REF!),"")</f>
        <v>#REF!</v>
      </c>
      <c r="N9" s="110" t="e">
        <f>IF(AND('Mapa final'!#REF!="Muy Alta",'Mapa final'!#REF!="Leve"),CONCATENATE("R4C",'Mapa final'!#REF!),"")</f>
        <v>#REF!</v>
      </c>
      <c r="O9" s="109" t="e">
        <f>IF(AND('Mapa final'!#REF!="Muy Alta",'Mapa final'!#REF!="Leve"),CONCATENATE("R4C",'Mapa final'!#REF!),"")</f>
        <v>#REF!</v>
      </c>
      <c r="P9" s="107" t="e">
        <f>IF(AND('Mapa final'!#REF!="Muy Alta",'Mapa final'!#REF!="Menor"),CONCATENATE("R4C",'Mapa final'!#REF!),"")</f>
        <v>#REF!</v>
      </c>
      <c r="Q9" s="108" t="e">
        <f>IF(AND('Mapa final'!#REF!="Muy Alta",'Mapa final'!#REF!="Menor"),CONCATENATE("R4C",'Mapa final'!#REF!),"")</f>
        <v>#REF!</v>
      </c>
      <c r="R9" s="110" t="e">
        <f>IF(AND('Mapa final'!#REF!="Muy Alta",'Mapa final'!#REF!="Menor"),CONCATENATE("R4C",'Mapa final'!#REF!),"")</f>
        <v>#REF!</v>
      </c>
      <c r="S9" s="110" t="e">
        <f>IF(AND('Mapa final'!#REF!="Muy Alta",'Mapa final'!#REF!="Menor"),CONCATENATE("R4C",'Mapa final'!#REF!),"")</f>
        <v>#REF!</v>
      </c>
      <c r="T9" s="110" t="e">
        <f>IF(AND('Mapa final'!#REF!="Muy Alta",'Mapa final'!#REF!="Menor"),CONCATENATE("R4C",'Mapa final'!#REF!),"")</f>
        <v>#REF!</v>
      </c>
      <c r="U9" s="109" t="e">
        <f>IF(AND('Mapa final'!#REF!="Muy Alta",'Mapa final'!#REF!="Menor"),CONCATENATE("R4C",'Mapa final'!#REF!),"")</f>
        <v>#REF!</v>
      </c>
      <c r="V9" s="107" t="e">
        <f>IF(AND('Mapa final'!#REF!="Muy Alta",'Mapa final'!#REF!="Moderado"),CONCATENATE("R4C",'Mapa final'!#REF!),"")</f>
        <v>#REF!</v>
      </c>
      <c r="W9" s="108" t="e">
        <f>IF(AND('Mapa final'!#REF!="Muy Alta",'Mapa final'!#REF!="Moderado"),CONCATENATE("R4C",'Mapa final'!#REF!),"")</f>
        <v>#REF!</v>
      </c>
      <c r="X9" s="110" t="e">
        <f>IF(AND('Mapa final'!#REF!="Muy Alta",'Mapa final'!#REF!="Moderado"),CONCATENATE("R4C",'Mapa final'!#REF!),"")</f>
        <v>#REF!</v>
      </c>
      <c r="Y9" s="110" t="e">
        <f>IF(AND('Mapa final'!#REF!="Muy Alta",'Mapa final'!#REF!="Moderado"),CONCATENATE("R4C",'Mapa final'!#REF!),"")</f>
        <v>#REF!</v>
      </c>
      <c r="Z9" s="110" t="e">
        <f>IF(AND('Mapa final'!#REF!="Muy Alta",'Mapa final'!#REF!="Moderado"),CONCATENATE("R4C",'Mapa final'!#REF!),"")</f>
        <v>#REF!</v>
      </c>
      <c r="AA9" s="109" t="e">
        <f>IF(AND('Mapa final'!#REF!="Muy Alta",'Mapa final'!#REF!="Moderado"),CONCATENATE("R4C",'Mapa final'!#REF!),"")</f>
        <v>#REF!</v>
      </c>
      <c r="AB9" s="107" t="e">
        <f>IF(AND('Mapa final'!#REF!="Muy Alta",'Mapa final'!#REF!="Mayor"),CONCATENATE("R4C",'Mapa final'!#REF!),"")</f>
        <v>#REF!</v>
      </c>
      <c r="AC9" s="108" t="e">
        <f>IF(AND('Mapa final'!#REF!="Muy Alta",'Mapa final'!#REF!="Mayor"),CONCATENATE("R4C",'Mapa final'!#REF!),"")</f>
        <v>#REF!</v>
      </c>
      <c r="AD9" s="110" t="e">
        <f>IF(AND('Mapa final'!#REF!="Muy Alta",'Mapa final'!#REF!="Mayor"),CONCATENATE("R4C",'Mapa final'!#REF!),"")</f>
        <v>#REF!</v>
      </c>
      <c r="AE9" s="110" t="e">
        <f>IF(AND('Mapa final'!#REF!="Muy Alta",'Mapa final'!#REF!="Mayor"),CONCATENATE("R4C",'Mapa final'!#REF!),"")</f>
        <v>#REF!</v>
      </c>
      <c r="AF9" s="110" t="e">
        <f>IF(AND('Mapa final'!#REF!="Muy Alta",'Mapa final'!#REF!="Mayor"),CONCATENATE("R4C",'Mapa final'!#REF!),"")</f>
        <v>#REF!</v>
      </c>
      <c r="AG9" s="109" t="e">
        <f>IF(AND('Mapa final'!#REF!="Muy Alta",'Mapa final'!#REF!="Mayor"),CONCATENATE("R4C",'Mapa final'!#REF!),"")</f>
        <v>#REF!</v>
      </c>
      <c r="AH9" s="118" t="e">
        <f>IF(AND('Mapa final'!#REF!="Muy Alta",'Mapa final'!#REF!="Catastrófico"),CONCATENATE("R4C",'Mapa final'!#REF!),"")</f>
        <v>#REF!</v>
      </c>
      <c r="AI9" s="119" t="e">
        <f>IF(AND('Mapa final'!#REF!="Muy Alta",'Mapa final'!#REF!="Catastrófico"),CONCATENATE("R4C",'Mapa final'!#REF!),"")</f>
        <v>#REF!</v>
      </c>
      <c r="AJ9" s="119" t="e">
        <f>IF(AND('Mapa final'!#REF!="Muy Alta",'Mapa final'!#REF!="Catastrófico"),CONCATENATE("R4C",'Mapa final'!#REF!),"")</f>
        <v>#REF!</v>
      </c>
      <c r="AK9" s="119" t="e">
        <f>IF(AND('Mapa final'!#REF!="Muy Alta",'Mapa final'!#REF!="Catastrófico"),CONCATENATE("R4C",'Mapa final'!#REF!),"")</f>
        <v>#REF!</v>
      </c>
      <c r="AL9" s="119" t="e">
        <f>IF(AND('Mapa final'!#REF!="Muy Alta",'Mapa final'!#REF!="Catastrófico"),CONCATENATE("R4C",'Mapa final'!#REF!),"")</f>
        <v>#REF!</v>
      </c>
      <c r="AM9" s="120" t="e">
        <f>IF(AND('Mapa final'!#REF!="Muy Alta",'Mapa final'!#REF!="Catastrófico"),CONCATENATE("R4C",'Mapa final'!#REF!),"")</f>
        <v>#REF!</v>
      </c>
      <c r="AN9" s="50"/>
      <c r="AO9" s="365"/>
      <c r="AP9" s="366"/>
      <c r="AQ9" s="366"/>
      <c r="AR9" s="366"/>
      <c r="AS9" s="366"/>
      <c r="AT9" s="367"/>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row>
    <row r="10" spans="1:91" ht="20.100000000000001" customHeight="1" x14ac:dyDescent="0.3">
      <c r="A10" s="50"/>
      <c r="B10" s="257"/>
      <c r="C10" s="257"/>
      <c r="D10" s="258"/>
      <c r="E10" s="358"/>
      <c r="F10" s="359"/>
      <c r="G10" s="359"/>
      <c r="H10" s="359"/>
      <c r="I10" s="373"/>
      <c r="J10" s="107" t="str">
        <f>IF(AND('Mapa final'!$X$23="Muy Alta",'Mapa final'!$Z$23="Leve"),CONCATENATE("R5C",'Mapa final'!$N$23),"")</f>
        <v/>
      </c>
      <c r="K10" s="108" t="str">
        <f>IF(AND('Mapa final'!$X$24="Muy Alta",'Mapa final'!$Z$24="Leve"),CONCATENATE("R5C",'Mapa final'!$N$24),"")</f>
        <v/>
      </c>
      <c r="L10" s="110" t="str">
        <f>IF(AND('Mapa final'!$X$25="Muy Alta",'Mapa final'!$Z$25="Leve"),CONCATENATE("R5C",'Mapa final'!$N$25),"")</f>
        <v/>
      </c>
      <c r="M10" s="110" t="str">
        <f>IF(AND('Mapa final'!$X$26="Muy Alta",'Mapa final'!$Z$26="Leve"),CONCATENATE("R5C",'Mapa final'!$N$26),"")</f>
        <v/>
      </c>
      <c r="N10" s="110" t="str">
        <f>IF(AND('Mapa final'!$X$27="Muy Alta",'Mapa final'!$Z$27="Leve"),CONCATENATE("R5C",'Mapa final'!$N$27),"")</f>
        <v/>
      </c>
      <c r="O10" s="109" t="str">
        <f>IF(AND('Mapa final'!$X$28="Muy Alta",'Mapa final'!$Z$28="Leve"),CONCATENATE("R5C",'Mapa final'!$N$28),"")</f>
        <v/>
      </c>
      <c r="P10" s="107" t="str">
        <f>IF(AND('Mapa final'!$X$23="Muy Alta",'Mapa final'!$Z$23="Menor"),CONCATENATE("R5C",'Mapa final'!$N$23),"")</f>
        <v/>
      </c>
      <c r="Q10" s="108" t="str">
        <f>IF(AND('Mapa final'!$X$24="Muy Alta",'Mapa final'!$Z$24="Menor"),CONCATENATE("R5C",'Mapa final'!$N$24),"")</f>
        <v/>
      </c>
      <c r="R10" s="110" t="str">
        <f>IF(AND('Mapa final'!$X$25="Muy Alta",'Mapa final'!$Z$25="Menor"),CONCATENATE("R5C",'Mapa final'!$N$25),"")</f>
        <v/>
      </c>
      <c r="S10" s="110" t="str">
        <f>IF(AND('Mapa final'!$X$26="Muy Alta",'Mapa final'!$Z$26="Menor"),CONCATENATE("R5C",'Mapa final'!$N$26),"")</f>
        <v/>
      </c>
      <c r="T10" s="110" t="str">
        <f>IF(AND('Mapa final'!$X$27="Muy Alta",'Mapa final'!$Z$27="Menor"),CONCATENATE("R5C",'Mapa final'!$N$27),"")</f>
        <v/>
      </c>
      <c r="U10" s="109" t="str">
        <f>IF(AND('Mapa final'!$X$28="Muy Alta",'Mapa final'!$Z$28="Menor"),CONCATENATE("R5C",'Mapa final'!$N$28),"")</f>
        <v/>
      </c>
      <c r="V10" s="107" t="str">
        <f>IF(AND('Mapa final'!$X$23="Muy Alta",'Mapa final'!$Z$23="Moderado"),CONCATENATE("R5C",'Mapa final'!$N$23),"")</f>
        <v/>
      </c>
      <c r="W10" s="108" t="str">
        <f>IF(AND('Mapa final'!$X$24="Muy Alta",'Mapa final'!$Z$24="Moderado"),CONCATENATE("R5C",'Mapa final'!$N$24),"")</f>
        <v/>
      </c>
      <c r="X10" s="110" t="str">
        <f>IF(AND('Mapa final'!$X$25="Muy Alta",'Mapa final'!$Z$25="Moderado"),CONCATENATE("R5C",'Mapa final'!$N$25),"")</f>
        <v/>
      </c>
      <c r="Y10" s="110" t="str">
        <f>IF(AND('Mapa final'!$X$26="Muy Alta",'Mapa final'!$Z$26="Moderado"),CONCATENATE("R5C",'Mapa final'!$N$26),"")</f>
        <v/>
      </c>
      <c r="Z10" s="110" t="str">
        <f>IF(AND('Mapa final'!$X$27="Muy Alta",'Mapa final'!$Z$27="Moderado"),CONCATENATE("R5C",'Mapa final'!$N$27),"")</f>
        <v/>
      </c>
      <c r="AA10" s="109" t="str">
        <f>IF(AND('Mapa final'!$X$28="Muy Alta",'Mapa final'!$Z$28="Moderado"),CONCATENATE("R5C",'Mapa final'!$N$28),"")</f>
        <v/>
      </c>
      <c r="AB10" s="107" t="str">
        <f>IF(AND('Mapa final'!$X$23="Muy Alta",'Mapa final'!$Z$23="Mayor"),CONCATENATE("R5C",'Mapa final'!$N$23),"")</f>
        <v/>
      </c>
      <c r="AC10" s="108" t="str">
        <f>IF(AND('Mapa final'!$X$24="Muy Alta",'Mapa final'!$Z$24="Mayor"),CONCATENATE("R5C",'Mapa final'!$N$24),"")</f>
        <v/>
      </c>
      <c r="AD10" s="110" t="str">
        <f>IF(AND('Mapa final'!$X$25="Muy Alta",'Mapa final'!$Z$25="Mayor"),CONCATENATE("R5C",'Mapa final'!$N$25),"")</f>
        <v/>
      </c>
      <c r="AE10" s="110" t="str">
        <f>IF(AND('Mapa final'!$X$26="Muy Alta",'Mapa final'!$Z$26="Mayor"),CONCATENATE("R5C",'Mapa final'!$N$26),"")</f>
        <v/>
      </c>
      <c r="AF10" s="110" t="str">
        <f>IF(AND('Mapa final'!$X$27="Muy Alta",'Mapa final'!$Z$27="Mayor"),CONCATENATE("R5C",'Mapa final'!$N$27),"")</f>
        <v/>
      </c>
      <c r="AG10" s="109" t="str">
        <f>IF(AND('Mapa final'!$X$28="Muy Alta",'Mapa final'!$Z$28="Mayor"),CONCATENATE("R5C",'Mapa final'!$N$28),"")</f>
        <v/>
      </c>
      <c r="AH10" s="118" t="str">
        <f>IF(AND('Mapa final'!$X$23="Muy Alta",'Mapa final'!$Z$23="Catastrófico"),CONCATENATE("R5C",'Mapa final'!$N$23),"")</f>
        <v/>
      </c>
      <c r="AI10" s="119" t="str">
        <f>IF(AND('Mapa final'!$X$24="Muy Alta",'Mapa final'!$Z$24="Catastrófico"),CONCATENATE("R5C",'Mapa final'!$N$24),"")</f>
        <v/>
      </c>
      <c r="AJ10" s="119" t="str">
        <f>IF(AND('Mapa final'!$X$25="Muy Alta",'Mapa final'!$Z$25="Catastrófico"),CONCATENATE("R5C",'Mapa final'!$N$25),"")</f>
        <v/>
      </c>
      <c r="AK10" s="119" t="str">
        <f>IF(AND('Mapa final'!$X$26="Muy Alta",'Mapa final'!$Z$26="Catastrófico"),CONCATENATE("R5C",'Mapa final'!$N$26),"")</f>
        <v/>
      </c>
      <c r="AL10" s="119" t="str">
        <f>IF(AND('Mapa final'!$X$27="Muy Alta",'Mapa final'!$Z$27="Catastrófico"),CONCATENATE("R5C",'Mapa final'!$N$27),"")</f>
        <v/>
      </c>
      <c r="AM10" s="120" t="str">
        <f>IF(AND('Mapa final'!$X$28="Muy Alta",'Mapa final'!$Z$28="Catastrófico"),CONCATENATE("R5C",'Mapa final'!$N$28),"")</f>
        <v/>
      </c>
      <c r="AN10" s="50"/>
      <c r="AO10" s="365"/>
      <c r="AP10" s="366"/>
      <c r="AQ10" s="366"/>
      <c r="AR10" s="366"/>
      <c r="AS10" s="366"/>
      <c r="AT10" s="367"/>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row>
    <row r="11" spans="1:91" ht="20.100000000000001" customHeight="1" x14ac:dyDescent="0.3">
      <c r="A11" s="50"/>
      <c r="B11" s="257"/>
      <c r="C11" s="257"/>
      <c r="D11" s="258"/>
      <c r="E11" s="358"/>
      <c r="F11" s="359"/>
      <c r="G11" s="359"/>
      <c r="H11" s="359"/>
      <c r="I11" s="373"/>
      <c r="J11" s="107" t="str">
        <f>IF(AND('Mapa final'!$X$29="Muy Alta",'Mapa final'!$Z$29="Leve"),CONCATENATE("R6C",'Mapa final'!$N$29),"")</f>
        <v/>
      </c>
      <c r="K11" s="108" t="str">
        <f>IF(AND('Mapa final'!$X$30="Muy Alta",'Mapa final'!$Z$30="Leve"),CONCATENATE("R6C",'Mapa final'!$N$30),"")</f>
        <v/>
      </c>
      <c r="L11" s="110" t="str">
        <f>IF(AND('Mapa final'!$X$31="Muy Alta",'Mapa final'!$Z$31="Leve"),CONCATENATE("R6C",'Mapa final'!$N$31),"")</f>
        <v/>
      </c>
      <c r="M11" s="110" t="str">
        <f>IF(AND('Mapa final'!$X$32="Muy Alta",'Mapa final'!$Z$32="Leve"),CONCATENATE("R6C",'Mapa final'!$N$32),"")</f>
        <v/>
      </c>
      <c r="N11" s="110" t="str">
        <f>IF(AND('Mapa final'!$X$33="Muy Alta",'Mapa final'!$Z$33="Leve"),CONCATENATE("R6C",'Mapa final'!$N$33),"")</f>
        <v/>
      </c>
      <c r="O11" s="109" t="str">
        <f>IF(AND('Mapa final'!$X$34="Muy Alta",'Mapa final'!$Z$34="Leve"),CONCATENATE("R6C",'Mapa final'!$N$34),"")</f>
        <v/>
      </c>
      <c r="P11" s="107" t="str">
        <f>IF(AND('Mapa final'!$X$29="Muy Alta",'Mapa final'!$Z$29="Menor"),CONCATENATE("R6C",'Mapa final'!$N$29),"")</f>
        <v/>
      </c>
      <c r="Q11" s="108" t="str">
        <f>IF(AND('Mapa final'!$X$30="Muy Alta",'Mapa final'!$Z$30="Menor"),CONCATENATE("R6C",'Mapa final'!$N$30),"")</f>
        <v/>
      </c>
      <c r="R11" s="110" t="str">
        <f>IF(AND('Mapa final'!$X$31="Muy Alta",'Mapa final'!$Z$31="Menor"),CONCATENATE("R6C",'Mapa final'!$N$31),"")</f>
        <v/>
      </c>
      <c r="S11" s="110" t="str">
        <f>IF(AND('Mapa final'!$X$32="Muy Alta",'Mapa final'!$Z$32="Menor"),CONCATENATE("R6C",'Mapa final'!$N$32),"")</f>
        <v/>
      </c>
      <c r="T11" s="110" t="str">
        <f>IF(AND('Mapa final'!$X$33="Muy Alta",'Mapa final'!$Z$33="Menor"),CONCATENATE("R6C",'Mapa final'!$N$33),"")</f>
        <v/>
      </c>
      <c r="U11" s="109" t="str">
        <f>IF(AND('Mapa final'!$X$34="Muy Alta",'Mapa final'!$Z$34="Menor"),CONCATENATE("R6C",'Mapa final'!$N$34),"")</f>
        <v/>
      </c>
      <c r="V11" s="107" t="str">
        <f>IF(AND('Mapa final'!$X$29="Muy Alta",'Mapa final'!$Z$29="Moderado"),CONCATENATE("R6C",'Mapa final'!$N$29),"")</f>
        <v/>
      </c>
      <c r="W11" s="108" t="str">
        <f>IF(AND('Mapa final'!$X$30="Muy Alta",'Mapa final'!$Z$30="Moderado"),CONCATENATE("R6C",'Mapa final'!$N$30),"")</f>
        <v/>
      </c>
      <c r="X11" s="110" t="str">
        <f>IF(AND('Mapa final'!$X$31="Muy Alta",'Mapa final'!$Z$31="Moderado"),CONCATENATE("R6C",'Mapa final'!$N$31),"")</f>
        <v/>
      </c>
      <c r="Y11" s="110" t="str">
        <f>IF(AND('Mapa final'!$X$32="Muy Alta",'Mapa final'!$Z$32="Moderado"),CONCATENATE("R6C",'Mapa final'!$N$32),"")</f>
        <v/>
      </c>
      <c r="Z11" s="110" t="str">
        <f>IF(AND('Mapa final'!$X$33="Muy Alta",'Mapa final'!$Z$33="Moderado"),CONCATENATE("R6C",'Mapa final'!$N$33),"")</f>
        <v/>
      </c>
      <c r="AA11" s="109" t="str">
        <f>IF(AND('Mapa final'!$X$34="Muy Alta",'Mapa final'!$Z$34="Moderado"),CONCATENATE("R6C",'Mapa final'!$N$34),"")</f>
        <v/>
      </c>
      <c r="AB11" s="107" t="str">
        <f>IF(AND('Mapa final'!$X$29="Muy Alta",'Mapa final'!$Z$29="Mayor"),CONCATENATE("R6C",'Mapa final'!$N$29),"")</f>
        <v/>
      </c>
      <c r="AC11" s="108" t="str">
        <f>IF(AND('Mapa final'!$X$30="Muy Alta",'Mapa final'!$Z$30="Mayor"),CONCATENATE("R6C",'Mapa final'!$N$30),"")</f>
        <v/>
      </c>
      <c r="AD11" s="110" t="str">
        <f>IF(AND('Mapa final'!$X$31="Muy Alta",'Mapa final'!$Z$31="Mayor"),CONCATENATE("R6C",'Mapa final'!$N$31),"")</f>
        <v/>
      </c>
      <c r="AE11" s="110" t="str">
        <f>IF(AND('Mapa final'!$X$32="Muy Alta",'Mapa final'!$Z$32="Mayor"),CONCATENATE("R6C",'Mapa final'!$N$32),"")</f>
        <v/>
      </c>
      <c r="AF11" s="110" t="str">
        <f>IF(AND('Mapa final'!$X$33="Muy Alta",'Mapa final'!$Z$33="Mayor"),CONCATENATE("R6C",'Mapa final'!$N$33),"")</f>
        <v/>
      </c>
      <c r="AG11" s="109" t="str">
        <f>IF(AND('Mapa final'!$X$34="Muy Alta",'Mapa final'!$Z$34="Mayor"),CONCATENATE("R6C",'Mapa final'!$N$34),"")</f>
        <v/>
      </c>
      <c r="AH11" s="118" t="str">
        <f>IF(AND('Mapa final'!$X$29="Muy Alta",'Mapa final'!$Z$29="Catastrófico"),CONCATENATE("R6C",'Mapa final'!$N$29),"")</f>
        <v/>
      </c>
      <c r="AI11" s="119" t="str">
        <f>IF(AND('Mapa final'!$X$30="Muy Alta",'Mapa final'!$Z$30="Catastrófico"),CONCATENATE("R6C",'Mapa final'!$N$30),"")</f>
        <v/>
      </c>
      <c r="AJ11" s="119" t="str">
        <f>IF(AND('Mapa final'!$X$31="Muy Alta",'Mapa final'!$Z$31="Catastrófico"),CONCATENATE("R6C",'Mapa final'!$N$31),"")</f>
        <v/>
      </c>
      <c r="AK11" s="119" t="str">
        <f>IF(AND('Mapa final'!$X$32="Muy Alta",'Mapa final'!$Z$32="Catastrófico"),CONCATENATE("R6C",'Mapa final'!$N$32),"")</f>
        <v/>
      </c>
      <c r="AL11" s="119" t="str">
        <f>IF(AND('Mapa final'!$X$33="Muy Alta",'Mapa final'!$Z$33="Catastrófico"),CONCATENATE("R6C",'Mapa final'!$N$33),"")</f>
        <v/>
      </c>
      <c r="AM11" s="120" t="str">
        <f>IF(AND('Mapa final'!$X$34="Muy Alta",'Mapa final'!$Z$34="Catastrófico"),CONCATENATE("R6C",'Mapa final'!$N$34),"")</f>
        <v/>
      </c>
      <c r="AN11" s="50"/>
      <c r="AO11" s="365"/>
      <c r="AP11" s="366"/>
      <c r="AQ11" s="366"/>
      <c r="AR11" s="366"/>
      <c r="AS11" s="366"/>
      <c r="AT11" s="367"/>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row>
    <row r="12" spans="1:91" ht="20.100000000000001" customHeight="1" x14ac:dyDescent="0.3">
      <c r="A12" s="50"/>
      <c r="B12" s="257"/>
      <c r="C12" s="257"/>
      <c r="D12" s="258"/>
      <c r="E12" s="358"/>
      <c r="F12" s="359"/>
      <c r="G12" s="359"/>
      <c r="H12" s="359"/>
      <c r="I12" s="373"/>
      <c r="J12" s="107" t="str">
        <f>IF(AND('Mapa final'!$X$35="Muy Alta",'Mapa final'!$Z$35="Leve"),CONCATENATE("R7C",'Mapa final'!$N$35),"")</f>
        <v/>
      </c>
      <c r="K12" s="108" t="str">
        <f>IF(AND('Mapa final'!$X$36="Muy Alta",'Mapa final'!$Z$36="Leve"),CONCATENATE("R7C",'Mapa final'!$N$36),"")</f>
        <v/>
      </c>
      <c r="L12" s="110" t="str">
        <f>IF(AND('Mapa final'!$X$37="Muy Alta",'Mapa final'!$Z$37="Leve"),CONCATENATE("R7C",'Mapa final'!$N$37),"")</f>
        <v/>
      </c>
      <c r="M12" s="110" t="str">
        <f>IF(AND('Mapa final'!$X$38="Muy Alta",'Mapa final'!$Z$38="Leve"),CONCATENATE("R7C",'Mapa final'!$N$38),"")</f>
        <v/>
      </c>
      <c r="N12" s="110" t="str">
        <f>IF(AND('Mapa final'!$X$39="Muy Alta",'Mapa final'!$Z$39="Leve"),CONCATENATE("R7C",'Mapa final'!$N$39),"")</f>
        <v/>
      </c>
      <c r="O12" s="109" t="str">
        <f>IF(AND('Mapa final'!$X$40="Muy Alta",'Mapa final'!$Z$40="Leve"),CONCATENATE("R7C",'Mapa final'!$N$40),"")</f>
        <v/>
      </c>
      <c r="P12" s="107" t="str">
        <f>IF(AND('Mapa final'!$X$35="Muy Alta",'Mapa final'!$Z$35="Menor"),CONCATENATE("R7C",'Mapa final'!$N$35),"")</f>
        <v/>
      </c>
      <c r="Q12" s="108" t="str">
        <f>IF(AND('Mapa final'!$X$36="Muy Alta",'Mapa final'!$Z$36="Menor"),CONCATENATE("R7C",'Mapa final'!$N$36),"")</f>
        <v/>
      </c>
      <c r="R12" s="110" t="str">
        <f>IF(AND('Mapa final'!$X$37="Muy Alta",'Mapa final'!$Z$37="Menor"),CONCATENATE("R7C",'Mapa final'!$N$37),"")</f>
        <v/>
      </c>
      <c r="S12" s="110" t="str">
        <f>IF(AND('Mapa final'!$X$38="Muy Alta",'Mapa final'!$Z$38="Menor"),CONCATENATE("R7C",'Mapa final'!$N$38),"")</f>
        <v/>
      </c>
      <c r="T12" s="110" t="str">
        <f>IF(AND('Mapa final'!$X$39="Muy Alta",'Mapa final'!$Z$39="Menor"),CONCATENATE("R7C",'Mapa final'!$N$39),"")</f>
        <v/>
      </c>
      <c r="U12" s="109" t="str">
        <f>IF(AND('Mapa final'!$X$40="Muy Alta",'Mapa final'!$Z$40="Menor"),CONCATENATE("R7C",'Mapa final'!$N$40),"")</f>
        <v/>
      </c>
      <c r="V12" s="107" t="str">
        <f>IF(AND('Mapa final'!$X$35="Muy Alta",'Mapa final'!$Z$35="Moderado"),CONCATENATE("R7C",'Mapa final'!$N$35),"")</f>
        <v/>
      </c>
      <c r="W12" s="108" t="str">
        <f>IF(AND('Mapa final'!$X$36="Muy Alta",'Mapa final'!$Z$36="Moderado"),CONCATENATE("R7C",'Mapa final'!$N$36),"")</f>
        <v/>
      </c>
      <c r="X12" s="110" t="str">
        <f>IF(AND('Mapa final'!$X$37="Muy Alta",'Mapa final'!$Z$37="Moderado"),CONCATENATE("R7C",'Mapa final'!$N$37),"")</f>
        <v/>
      </c>
      <c r="Y12" s="110" t="str">
        <f>IF(AND('Mapa final'!$X$38="Muy Alta",'Mapa final'!$Z$38="Moderado"),CONCATENATE("R7C",'Mapa final'!$N$38),"")</f>
        <v/>
      </c>
      <c r="Z12" s="110" t="str">
        <f>IF(AND('Mapa final'!$X$39="Muy Alta",'Mapa final'!$Z$39="Moderado"),CONCATENATE("R7C",'Mapa final'!$N$39),"")</f>
        <v/>
      </c>
      <c r="AA12" s="109" t="str">
        <f>IF(AND('Mapa final'!$X$40="Muy Alta",'Mapa final'!$Z$40="Moderado"),CONCATENATE("R7C",'Mapa final'!$N$40),"")</f>
        <v/>
      </c>
      <c r="AB12" s="107" t="str">
        <f>IF(AND('Mapa final'!$X$35="Muy Alta",'Mapa final'!$Z$35="Mayor"),CONCATENATE("R7C",'Mapa final'!$N$35),"")</f>
        <v/>
      </c>
      <c r="AC12" s="108" t="str">
        <f>IF(AND('Mapa final'!$X$36="Muy Alta",'Mapa final'!$Z$36="Mayor"),CONCATENATE("R7C",'Mapa final'!$N$36),"")</f>
        <v/>
      </c>
      <c r="AD12" s="110" t="str">
        <f>IF(AND('Mapa final'!$X$37="Muy Alta",'Mapa final'!$Z$37="Mayor"),CONCATENATE("R7C",'Mapa final'!$N$37),"")</f>
        <v/>
      </c>
      <c r="AE12" s="110" t="str">
        <f>IF(AND('Mapa final'!$X$38="Muy Alta",'Mapa final'!$Z$38="Mayor"),CONCATENATE("R7C",'Mapa final'!$N$38),"")</f>
        <v/>
      </c>
      <c r="AF12" s="110" t="str">
        <f>IF(AND('Mapa final'!$X$39="Muy Alta",'Mapa final'!$Z$39="Mayor"),CONCATENATE("R7C",'Mapa final'!$N$39),"")</f>
        <v/>
      </c>
      <c r="AG12" s="109" t="str">
        <f>IF(AND('Mapa final'!$X$40="Muy Alta",'Mapa final'!$Z$40="Mayor"),CONCATENATE("R7C",'Mapa final'!$N$40),"")</f>
        <v/>
      </c>
      <c r="AH12" s="118" t="str">
        <f>IF(AND('Mapa final'!$X$35="Muy Alta",'Mapa final'!$Z$35="Catastrófico"),CONCATENATE("R7C",'Mapa final'!$N$35),"")</f>
        <v/>
      </c>
      <c r="AI12" s="119" t="str">
        <f>IF(AND('Mapa final'!$X$36="Muy Alta",'Mapa final'!$Z$36="Catastrófico"),CONCATENATE("R7C",'Mapa final'!$N$36),"")</f>
        <v/>
      </c>
      <c r="AJ12" s="119" t="str">
        <f>IF(AND('Mapa final'!$X$37="Muy Alta",'Mapa final'!$Z$37="Catastrófico"),CONCATENATE("R7C",'Mapa final'!$N$37),"")</f>
        <v/>
      </c>
      <c r="AK12" s="119" t="str">
        <f>IF(AND('Mapa final'!$X$38="Muy Alta",'Mapa final'!$Z$38="Catastrófico"),CONCATENATE("R7C",'Mapa final'!$N$38),"")</f>
        <v/>
      </c>
      <c r="AL12" s="119" t="str">
        <f>IF(AND('Mapa final'!$X$39="Muy Alta",'Mapa final'!$Z$39="Catastrófico"),CONCATENATE("R7C",'Mapa final'!$N$39),"")</f>
        <v/>
      </c>
      <c r="AM12" s="120" t="str">
        <f>IF(AND('Mapa final'!$X$40="Muy Alta",'Mapa final'!$Z$40="Catastrófico"),CONCATENATE("R7C",'Mapa final'!$N$40),"")</f>
        <v/>
      </c>
      <c r="AN12" s="50"/>
      <c r="AO12" s="365"/>
      <c r="AP12" s="366"/>
      <c r="AQ12" s="366"/>
      <c r="AR12" s="366"/>
      <c r="AS12" s="366"/>
      <c r="AT12" s="367"/>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row>
    <row r="13" spans="1:91" ht="20.100000000000001" customHeight="1" x14ac:dyDescent="0.3">
      <c r="A13" s="50"/>
      <c r="B13" s="257"/>
      <c r="C13" s="257"/>
      <c r="D13" s="258"/>
      <c r="E13" s="358"/>
      <c r="F13" s="359"/>
      <c r="G13" s="359"/>
      <c r="H13" s="359"/>
      <c r="I13" s="373"/>
      <c r="J13" s="107" t="str">
        <f>IF(AND('Mapa final'!$X$41="Muy Alta",'Mapa final'!$Z$41="Leve"),CONCATENATE("R8C",'Mapa final'!$N$41),"")</f>
        <v/>
      </c>
      <c r="K13" s="108" t="str">
        <f>IF(AND('Mapa final'!$X$42="Muy Alta",'Mapa final'!$Z$42="Leve"),CONCATENATE("R8C",'Mapa final'!$N$42),"")</f>
        <v/>
      </c>
      <c r="L13" s="110" t="str">
        <f>IF(AND('Mapa final'!$X$43="Muy Alta",'Mapa final'!$Z$43="Leve"),CONCATENATE("R8C",'Mapa final'!$N$43),"")</f>
        <v/>
      </c>
      <c r="M13" s="110" t="str">
        <f>IF(AND('Mapa final'!$X$44="Muy Alta",'Mapa final'!$Z$44="Leve"),CONCATENATE("R8C",'Mapa final'!$N$44),"")</f>
        <v/>
      </c>
      <c r="N13" s="110" t="str">
        <f>IF(AND('Mapa final'!$X$45="Muy Alta",'Mapa final'!$Z$45="Leve"),CONCATENATE("R8C",'Mapa final'!$N$45),"")</f>
        <v/>
      </c>
      <c r="O13" s="109" t="str">
        <f>IF(AND('Mapa final'!$X$46="Muy Alta",'Mapa final'!$Z$46="Leve"),CONCATENATE("R8C",'Mapa final'!$N$46),"")</f>
        <v/>
      </c>
      <c r="P13" s="107" t="str">
        <f>IF(AND('Mapa final'!$X$41="Muy Alta",'Mapa final'!$Z$41="Menor"),CONCATENATE("R8C",'Mapa final'!$N$41),"")</f>
        <v/>
      </c>
      <c r="Q13" s="108" t="str">
        <f>IF(AND('Mapa final'!$X$42="Muy Alta",'Mapa final'!$Z$42="Menor"),CONCATENATE("R8C",'Mapa final'!$N$42),"")</f>
        <v/>
      </c>
      <c r="R13" s="110" t="str">
        <f>IF(AND('Mapa final'!$X$43="Muy Alta",'Mapa final'!$Z$43="Menor"),CONCATENATE("R8C",'Mapa final'!$N$43),"")</f>
        <v/>
      </c>
      <c r="S13" s="110" t="str">
        <f>IF(AND('Mapa final'!$X$44="Muy Alta",'Mapa final'!$Z$44="Menor"),CONCATENATE("R8C",'Mapa final'!$N$44),"")</f>
        <v/>
      </c>
      <c r="T13" s="110" t="str">
        <f>IF(AND('Mapa final'!$X$45="Muy Alta",'Mapa final'!$Z$45="Menor"),CONCATENATE("R8C",'Mapa final'!$N$45),"")</f>
        <v/>
      </c>
      <c r="U13" s="109" t="str">
        <f>IF(AND('Mapa final'!$X$46="Muy Alta",'Mapa final'!$Z$46="Menor"),CONCATENATE("R8C",'Mapa final'!$N$46),"")</f>
        <v/>
      </c>
      <c r="V13" s="107" t="str">
        <f>IF(AND('Mapa final'!$X$41="Muy Alta",'Mapa final'!$Z$41="Moderado"),CONCATENATE("R8C",'Mapa final'!$N$41),"")</f>
        <v/>
      </c>
      <c r="W13" s="108" t="str">
        <f>IF(AND('Mapa final'!$X$42="Muy Alta",'Mapa final'!$Z$42="Moderado"),CONCATENATE("R8C",'Mapa final'!$N$42),"")</f>
        <v/>
      </c>
      <c r="X13" s="110" t="str">
        <f>IF(AND('Mapa final'!$X$43="Muy Alta",'Mapa final'!$Z$43="Moderado"),CONCATENATE("R8C",'Mapa final'!$N$43),"")</f>
        <v/>
      </c>
      <c r="Y13" s="110" t="str">
        <f>IF(AND('Mapa final'!$X$44="Muy Alta",'Mapa final'!$Z$44="Moderado"),CONCATENATE("R8C",'Mapa final'!$N$44),"")</f>
        <v/>
      </c>
      <c r="Z13" s="110" t="str">
        <f>IF(AND('Mapa final'!$X$45="Muy Alta",'Mapa final'!$Z$45="Moderado"),CONCATENATE("R8C",'Mapa final'!$N$45),"")</f>
        <v/>
      </c>
      <c r="AA13" s="109" t="str">
        <f>IF(AND('Mapa final'!$X$46="Muy Alta",'Mapa final'!$Z$46="Moderado"),CONCATENATE("R8C",'Mapa final'!$N$46),"")</f>
        <v/>
      </c>
      <c r="AB13" s="107" t="str">
        <f>IF(AND('Mapa final'!$X$41="Muy Alta",'Mapa final'!$Z$41="Mayor"),CONCATENATE("R8C",'Mapa final'!$N$41),"")</f>
        <v/>
      </c>
      <c r="AC13" s="108" t="str">
        <f>IF(AND('Mapa final'!$X$42="Muy Alta",'Mapa final'!$Z$42="Mayor"),CONCATENATE("R8C",'Mapa final'!$N$42),"")</f>
        <v/>
      </c>
      <c r="AD13" s="110" t="str">
        <f>IF(AND('Mapa final'!$X$43="Muy Alta",'Mapa final'!$Z$43="Mayor"),CONCATENATE("R8C",'Mapa final'!$N$43),"")</f>
        <v/>
      </c>
      <c r="AE13" s="110" t="str">
        <f>IF(AND('Mapa final'!$X$44="Muy Alta",'Mapa final'!$Z$44="Mayor"),CONCATENATE("R8C",'Mapa final'!$N$44),"")</f>
        <v/>
      </c>
      <c r="AF13" s="110" t="str">
        <f>IF(AND('Mapa final'!$X$45="Muy Alta",'Mapa final'!$Z$45="Mayor"),CONCATENATE("R8C",'Mapa final'!$N$45),"")</f>
        <v/>
      </c>
      <c r="AG13" s="109" t="str">
        <f>IF(AND('Mapa final'!$X$46="Muy Alta",'Mapa final'!$Z$46="Mayor"),CONCATENATE("R8C",'Mapa final'!$N$46),"")</f>
        <v/>
      </c>
      <c r="AH13" s="118" t="str">
        <f>IF(AND('Mapa final'!$X$41="Muy Alta",'Mapa final'!$Z$41="Catastrófico"),CONCATENATE("R8C",'Mapa final'!$N$41),"")</f>
        <v/>
      </c>
      <c r="AI13" s="119" t="str">
        <f>IF(AND('Mapa final'!$X$42="Muy Alta",'Mapa final'!$Z$42="Catastrófico"),CONCATENATE("R8C",'Mapa final'!$N$42),"")</f>
        <v/>
      </c>
      <c r="AJ13" s="119" t="str">
        <f>IF(AND('Mapa final'!$X$43="Muy Alta",'Mapa final'!$Z$43="Catastrófico"),CONCATENATE("R8C",'Mapa final'!$N$43),"")</f>
        <v/>
      </c>
      <c r="AK13" s="119" t="str">
        <f>IF(AND('Mapa final'!$X$44="Muy Alta",'Mapa final'!$Z$44="Catastrófico"),CONCATENATE("R8C",'Mapa final'!$N$44),"")</f>
        <v/>
      </c>
      <c r="AL13" s="119" t="str">
        <f>IF(AND('Mapa final'!$X$45="Muy Alta",'Mapa final'!$Z$45="Catastrófico"),CONCATENATE("R8C",'Mapa final'!$N$45),"")</f>
        <v/>
      </c>
      <c r="AM13" s="120" t="str">
        <f>IF(AND('Mapa final'!$X$46="Muy Alta",'Mapa final'!$Z$46="Catastrófico"),CONCATENATE("R8C",'Mapa final'!$N$46),"")</f>
        <v/>
      </c>
      <c r="AN13" s="50"/>
      <c r="AO13" s="365"/>
      <c r="AP13" s="366"/>
      <c r="AQ13" s="366"/>
      <c r="AR13" s="366"/>
      <c r="AS13" s="366"/>
      <c r="AT13" s="367"/>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row>
    <row r="14" spans="1:91" ht="20.100000000000001" customHeight="1" x14ac:dyDescent="0.3">
      <c r="A14" s="50"/>
      <c r="B14" s="257"/>
      <c r="C14" s="257"/>
      <c r="D14" s="258"/>
      <c r="E14" s="358"/>
      <c r="F14" s="359"/>
      <c r="G14" s="359"/>
      <c r="H14" s="359"/>
      <c r="I14" s="373"/>
      <c r="J14" s="107" t="str">
        <f>IF(AND('Mapa final'!$X$47="Muy Alta",'Mapa final'!$Z$47="Leve"),CONCATENATE("R9C",'Mapa final'!$N$47),"")</f>
        <v/>
      </c>
      <c r="K14" s="108" t="str">
        <f>IF(AND('Mapa final'!$X$48="Muy Alta",'Mapa final'!$Z$48="Leve"),CONCATENATE("R9C",'Mapa final'!$N$48),"")</f>
        <v/>
      </c>
      <c r="L14" s="110" t="str">
        <f>IF(AND('Mapa final'!$X$49="Muy Alta",'Mapa final'!$Z$49="Leve"),CONCATENATE("R9C",'Mapa final'!$N$49),"")</f>
        <v/>
      </c>
      <c r="M14" s="110" t="str">
        <f>IF(AND('Mapa final'!$X$50="Muy Alta",'Mapa final'!$Z$50="Leve"),CONCATENATE("R9C",'Mapa final'!$N$50),"")</f>
        <v/>
      </c>
      <c r="N14" s="110" t="str">
        <f>IF(AND('Mapa final'!$X$51="Muy Alta",'Mapa final'!$Z$51="Leve"),CONCATENATE("R9C",'Mapa final'!$N$51),"")</f>
        <v/>
      </c>
      <c r="O14" s="109" t="str">
        <f>IF(AND('Mapa final'!$X$52="Muy Alta",'Mapa final'!$Z$52="Leve"),CONCATENATE("R9C",'Mapa final'!$N$52),"")</f>
        <v/>
      </c>
      <c r="P14" s="107" t="str">
        <f>IF(AND('Mapa final'!$X$47="Muy Alta",'Mapa final'!$Z$47="Menor"),CONCATENATE("R9C",'Mapa final'!$N$47),"")</f>
        <v/>
      </c>
      <c r="Q14" s="108" t="str">
        <f>IF(AND('Mapa final'!$X$48="Muy Alta",'Mapa final'!$Z$48="Menor"),CONCATENATE("R9C",'Mapa final'!$N$48),"")</f>
        <v/>
      </c>
      <c r="R14" s="110" t="str">
        <f>IF(AND('Mapa final'!$X$49="Muy Alta",'Mapa final'!$Z$49="Menor"),CONCATENATE("R9C",'Mapa final'!$N$49),"")</f>
        <v/>
      </c>
      <c r="S14" s="110" t="str">
        <f>IF(AND('Mapa final'!$X$50="Muy Alta",'Mapa final'!$Z$50="Menor"),CONCATENATE("R9C",'Mapa final'!$N$50),"")</f>
        <v/>
      </c>
      <c r="T14" s="110" t="str">
        <f>IF(AND('Mapa final'!$X$51="Muy Alta",'Mapa final'!$Z$51="Menor"),CONCATENATE("R9C",'Mapa final'!$N$51),"")</f>
        <v/>
      </c>
      <c r="U14" s="109" t="str">
        <f>IF(AND('Mapa final'!$X$52="Muy Alta",'Mapa final'!$Z$52="Menor"),CONCATENATE("R9C",'Mapa final'!$N$52),"")</f>
        <v/>
      </c>
      <c r="V14" s="107" t="str">
        <f>IF(AND('Mapa final'!$X$47="Muy Alta",'Mapa final'!$Z$47="Moderado"),CONCATENATE("R9C",'Mapa final'!$N$47),"")</f>
        <v/>
      </c>
      <c r="W14" s="108" t="str">
        <f>IF(AND('Mapa final'!$X$48="Muy Alta",'Mapa final'!$Z$48="Moderado"),CONCATENATE("R9C",'Mapa final'!$N$48),"")</f>
        <v/>
      </c>
      <c r="X14" s="110" t="str">
        <f>IF(AND('Mapa final'!$X$49="Muy Alta",'Mapa final'!$Z$49="Moderado"),CONCATENATE("R9C",'Mapa final'!$N$49),"")</f>
        <v/>
      </c>
      <c r="Y14" s="110" t="str">
        <f>IF(AND('Mapa final'!$X$50="Muy Alta",'Mapa final'!$Z$50="Moderado"),CONCATENATE("R9C",'Mapa final'!$N$50),"")</f>
        <v/>
      </c>
      <c r="Z14" s="110" t="str">
        <f>IF(AND('Mapa final'!$X$51="Muy Alta",'Mapa final'!$Z$51="Moderado"),CONCATENATE("R9C",'Mapa final'!$N$51),"")</f>
        <v/>
      </c>
      <c r="AA14" s="109" t="str">
        <f>IF(AND('Mapa final'!$X$52="Muy Alta",'Mapa final'!$Z$52="Moderado"),CONCATENATE("R9C",'Mapa final'!$N$52),"")</f>
        <v/>
      </c>
      <c r="AB14" s="107" t="str">
        <f>IF(AND('Mapa final'!$X$47="Muy Alta",'Mapa final'!$Z$47="Mayor"),CONCATENATE("R9C",'Mapa final'!$N$47),"")</f>
        <v/>
      </c>
      <c r="AC14" s="108" t="str">
        <f>IF(AND('Mapa final'!$X$48="Muy Alta",'Mapa final'!$Z$48="Mayor"),CONCATENATE("R9C",'Mapa final'!$N$48),"")</f>
        <v/>
      </c>
      <c r="AD14" s="110" t="str">
        <f>IF(AND('Mapa final'!$X$49="Muy Alta",'Mapa final'!$Z$49="Mayor"),CONCATENATE("R9C",'Mapa final'!$N$49),"")</f>
        <v/>
      </c>
      <c r="AE14" s="110" t="str">
        <f>IF(AND('Mapa final'!$X$50="Muy Alta",'Mapa final'!$Z$50="Mayor"),CONCATENATE("R9C",'Mapa final'!$N$50),"")</f>
        <v/>
      </c>
      <c r="AF14" s="110" t="str">
        <f>IF(AND('Mapa final'!$X$51="Muy Alta",'Mapa final'!$Z$51="Mayor"),CONCATENATE("R9C",'Mapa final'!$N$51),"")</f>
        <v/>
      </c>
      <c r="AG14" s="109" t="str">
        <f>IF(AND('Mapa final'!$X$52="Muy Alta",'Mapa final'!$Z$52="Mayor"),CONCATENATE("R9C",'Mapa final'!$N$52),"")</f>
        <v/>
      </c>
      <c r="AH14" s="118" t="str">
        <f>IF(AND('Mapa final'!$X$47="Muy Alta",'Mapa final'!$Z$47="Catastrófico"),CONCATENATE("R9C",'Mapa final'!$N$47),"")</f>
        <v/>
      </c>
      <c r="AI14" s="119" t="str">
        <f>IF(AND('Mapa final'!$X$48="Muy Alta",'Mapa final'!$Z$48="Catastrófico"),CONCATENATE("R9C",'Mapa final'!$N$48),"")</f>
        <v/>
      </c>
      <c r="AJ14" s="119" t="str">
        <f>IF(AND('Mapa final'!$X$49="Muy Alta",'Mapa final'!$Z$49="Catastrófico"),CONCATENATE("R9C",'Mapa final'!$N$49),"")</f>
        <v/>
      </c>
      <c r="AK14" s="119" t="str">
        <f>IF(AND('Mapa final'!$X$50="Muy Alta",'Mapa final'!$Z$50="Catastrófico"),CONCATENATE("R9C",'Mapa final'!$N$50),"")</f>
        <v/>
      </c>
      <c r="AL14" s="119" t="str">
        <f>IF(AND('Mapa final'!$X$51="Muy Alta",'Mapa final'!$Z$51="Catastrófico"),CONCATENATE("R9C",'Mapa final'!$N$51),"")</f>
        <v/>
      </c>
      <c r="AM14" s="120" t="str">
        <f>IF(AND('Mapa final'!$X$52="Muy Alta",'Mapa final'!$Z$52="Catastrófico"),CONCATENATE("R9C",'Mapa final'!$N$52),"")</f>
        <v/>
      </c>
      <c r="AN14" s="50"/>
      <c r="AO14" s="365"/>
      <c r="AP14" s="366"/>
      <c r="AQ14" s="366"/>
      <c r="AR14" s="366"/>
      <c r="AS14" s="366"/>
      <c r="AT14" s="367"/>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row>
    <row r="15" spans="1:91" ht="20.100000000000001" customHeight="1" thickBot="1" x14ac:dyDescent="0.35">
      <c r="A15" s="50"/>
      <c r="B15" s="257"/>
      <c r="C15" s="257"/>
      <c r="D15" s="258"/>
      <c r="E15" s="360"/>
      <c r="F15" s="361"/>
      <c r="G15" s="361"/>
      <c r="H15" s="361"/>
      <c r="I15" s="374"/>
      <c r="J15" s="111" t="str">
        <f>IF(AND('Mapa final'!$X$53="Muy Alta",'Mapa final'!$Z$53="Leve"),CONCATENATE("R10C",'Mapa final'!$N$53),"")</f>
        <v/>
      </c>
      <c r="K15" s="112" t="str">
        <f>IF(AND('Mapa final'!$X$54="Muy Alta",'Mapa final'!$Z$54="Leve"),CONCATENATE("R10C",'Mapa final'!$N$54),"")</f>
        <v/>
      </c>
      <c r="L15" s="112" t="str">
        <f>IF(AND('Mapa final'!$X$55="Muy Alta",'Mapa final'!$Z$55="Leve"),CONCATENATE("R10C",'Mapa final'!$N$55),"")</f>
        <v/>
      </c>
      <c r="M15" s="112" t="str">
        <f>IF(AND('Mapa final'!$X$56="Muy Alta",'Mapa final'!$Z$56="Leve"),CONCATENATE("R10C",'Mapa final'!$N$56),"")</f>
        <v/>
      </c>
      <c r="N15" s="112" t="str">
        <f>IF(AND('Mapa final'!$X$57="Muy Alta",'Mapa final'!$Z$57="Leve"),CONCATENATE("R10C",'Mapa final'!$N$57),"")</f>
        <v/>
      </c>
      <c r="O15" s="113" t="str">
        <f>IF(AND('Mapa final'!$X$58="Muy Alta",'Mapa final'!$Z$58="Leve"),CONCATENATE("R10C",'Mapa final'!$N$58),"")</f>
        <v/>
      </c>
      <c r="P15" s="107" t="str">
        <f>IF(AND('Mapa final'!$X$53="Muy Alta",'Mapa final'!$Z$53="Menor"),CONCATENATE("R10C",'Mapa final'!$N$53),"")</f>
        <v/>
      </c>
      <c r="Q15" s="108" t="str">
        <f>IF(AND('Mapa final'!$X$54="Muy Alta",'Mapa final'!$Z$54="Menor"),CONCATENATE("R10C",'Mapa final'!$N$54),"")</f>
        <v/>
      </c>
      <c r="R15" s="108" t="str">
        <f>IF(AND('Mapa final'!$X$55="Muy Alta",'Mapa final'!$Z$55="Menor"),CONCATENATE("R10C",'Mapa final'!$N$55),"")</f>
        <v/>
      </c>
      <c r="S15" s="108" t="str">
        <f>IF(AND('Mapa final'!$X$56="Muy Alta",'Mapa final'!$Z$56="Menor"),CONCATENATE("R10C",'Mapa final'!$N$56),"")</f>
        <v/>
      </c>
      <c r="T15" s="108" t="str">
        <f>IF(AND('Mapa final'!$X$57="Muy Alta",'Mapa final'!$Z$57="Menor"),CONCATENATE("R10C",'Mapa final'!$N$57),"")</f>
        <v/>
      </c>
      <c r="U15" s="109" t="str">
        <f>IF(AND('Mapa final'!$X$58="Muy Alta",'Mapa final'!$Z$58="Menor"),CONCATENATE("R10C",'Mapa final'!$N$58),"")</f>
        <v/>
      </c>
      <c r="V15" s="111" t="str">
        <f>IF(AND('Mapa final'!$X$53="Muy Alta",'Mapa final'!$Z$53="Moderado"),CONCATENATE("R10C",'Mapa final'!$N$53),"")</f>
        <v/>
      </c>
      <c r="W15" s="112" t="str">
        <f>IF(AND('Mapa final'!$X$54="Muy Alta",'Mapa final'!$Z$54="Moderado"),CONCATENATE("R10C",'Mapa final'!$N$54),"")</f>
        <v/>
      </c>
      <c r="X15" s="112" t="str">
        <f>IF(AND('Mapa final'!$X$55="Muy Alta",'Mapa final'!$Z$55="Moderado"),CONCATENATE("R10C",'Mapa final'!$N$55),"")</f>
        <v/>
      </c>
      <c r="Y15" s="112" t="str">
        <f>IF(AND('Mapa final'!$X$56="Muy Alta",'Mapa final'!$Z$56="Moderado"),CONCATENATE("R10C",'Mapa final'!$N$56),"")</f>
        <v/>
      </c>
      <c r="Z15" s="112" t="str">
        <f>IF(AND('Mapa final'!$X$57="Muy Alta",'Mapa final'!$Z$57="Moderado"),CONCATENATE("R10C",'Mapa final'!$N$57),"")</f>
        <v/>
      </c>
      <c r="AA15" s="113" t="str">
        <f>IF(AND('Mapa final'!$X$58="Muy Alta",'Mapa final'!$Z$58="Moderado"),CONCATENATE("R10C",'Mapa final'!$N$58),"")</f>
        <v/>
      </c>
      <c r="AB15" s="107" t="str">
        <f>IF(AND('Mapa final'!$X$53="Muy Alta",'Mapa final'!$Z$53="Mayor"),CONCATENATE("R10C",'Mapa final'!$N$53),"")</f>
        <v/>
      </c>
      <c r="AC15" s="108" t="str">
        <f>IF(AND('Mapa final'!$X$54="Muy Alta",'Mapa final'!$Z$54="Mayor"),CONCATENATE("R10C",'Mapa final'!$N$54),"")</f>
        <v/>
      </c>
      <c r="AD15" s="108" t="str">
        <f>IF(AND('Mapa final'!$X$55="Muy Alta",'Mapa final'!$Z$55="Mayor"),CONCATENATE("R10C",'Mapa final'!$N$55),"")</f>
        <v/>
      </c>
      <c r="AE15" s="108" t="str">
        <f>IF(AND('Mapa final'!$X$56="Muy Alta",'Mapa final'!$Z$56="Mayor"),CONCATENATE("R10C",'Mapa final'!$N$56),"")</f>
        <v/>
      </c>
      <c r="AF15" s="108" t="str">
        <f>IF(AND('Mapa final'!$X$57="Muy Alta",'Mapa final'!$Z$57="Mayor"),CONCATENATE("R10C",'Mapa final'!$N$57),"")</f>
        <v/>
      </c>
      <c r="AG15" s="109" t="str">
        <f>IF(AND('Mapa final'!$X$58="Muy Alta",'Mapa final'!$Z$58="Mayor"),CONCATENATE("R10C",'Mapa final'!$N$58),"")</f>
        <v/>
      </c>
      <c r="AH15" s="121" t="str">
        <f>IF(AND('Mapa final'!$X$53="Muy Alta",'Mapa final'!$Z$53="Catastrófico"),CONCATENATE("R10C",'Mapa final'!$N$53),"")</f>
        <v/>
      </c>
      <c r="AI15" s="122" t="str">
        <f>IF(AND('Mapa final'!$X$54="Muy Alta",'Mapa final'!$Z$54="Catastrófico"),CONCATENATE("R10C",'Mapa final'!$N$54),"")</f>
        <v/>
      </c>
      <c r="AJ15" s="122" t="str">
        <f>IF(AND('Mapa final'!$X$55="Muy Alta",'Mapa final'!$Z$55="Catastrófico"),CONCATENATE("R10C",'Mapa final'!$N$55),"")</f>
        <v/>
      </c>
      <c r="AK15" s="122" t="str">
        <f>IF(AND('Mapa final'!$X$56="Muy Alta",'Mapa final'!$Z$56="Catastrófico"),CONCATENATE("R10C",'Mapa final'!$N$56),"")</f>
        <v/>
      </c>
      <c r="AL15" s="122" t="str">
        <f>IF(AND('Mapa final'!$X$57="Muy Alta",'Mapa final'!$Z$57="Catastrófico"),CONCATENATE("R10C",'Mapa final'!$N$57),"")</f>
        <v/>
      </c>
      <c r="AM15" s="123" t="str">
        <f>IF(AND('Mapa final'!$X$58="Muy Alta",'Mapa final'!$Z$58="Catastrófico"),CONCATENATE("R10C",'Mapa final'!$N$58),"")</f>
        <v/>
      </c>
      <c r="AN15" s="50"/>
      <c r="AO15" s="368"/>
      <c r="AP15" s="369"/>
      <c r="AQ15" s="369"/>
      <c r="AR15" s="369"/>
      <c r="AS15" s="369"/>
      <c r="AT15" s="37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row>
    <row r="16" spans="1:91" ht="20.100000000000001" customHeight="1" x14ac:dyDescent="0.3">
      <c r="A16" s="50"/>
      <c r="B16" s="257"/>
      <c r="C16" s="257"/>
      <c r="D16" s="258"/>
      <c r="E16" s="354" t="s">
        <v>113</v>
      </c>
      <c r="F16" s="355"/>
      <c r="G16" s="355"/>
      <c r="H16" s="355"/>
      <c r="I16" s="355"/>
      <c r="J16" s="124" t="str">
        <f>IF(AND('Mapa final'!$X$11="Alta",'Mapa final'!$Z$11="Leve"),CONCATENATE("R1C",'Mapa final'!$N$11),"")</f>
        <v/>
      </c>
      <c r="K16" s="125" t="str">
        <f>IF(AND('Mapa final'!$X$12="Alta",'Mapa final'!$Z$12="Leve"),CONCATENATE("R1C",'Mapa final'!$N$12),"")</f>
        <v/>
      </c>
      <c r="L16" s="125" t="str">
        <f>IF(AND('Mapa final'!$X$13="Alta",'Mapa final'!$Z$13="Leve"),CONCATENATE("R1C",'Mapa final'!$N$13),"")</f>
        <v/>
      </c>
      <c r="M16" s="125" t="str">
        <f>IF(AND('Mapa final'!$X$14="Alta",'Mapa final'!$Z$14="Leve"),CONCATENATE("R1C",'Mapa final'!$N$14),"")</f>
        <v/>
      </c>
      <c r="N16" s="125" t="str">
        <f>IF(AND('Mapa final'!$X$15="Alta",'Mapa final'!$Z$15="Leve"),CONCATENATE("R1C",'Mapa final'!$N$15),"")</f>
        <v/>
      </c>
      <c r="O16" s="126" t="str">
        <f>IF(AND('Mapa final'!$X$16="Alta",'Mapa final'!$Z$16="Leve"),CONCATENATE("R1C",'Mapa final'!$N$16),"")</f>
        <v/>
      </c>
      <c r="P16" s="124" t="str">
        <f>IF(AND('Mapa final'!$X$11="Alta",'Mapa final'!$Z$11="Menor"),CONCATENATE("R1C",'Mapa final'!$N$11),"")</f>
        <v/>
      </c>
      <c r="Q16" s="125" t="str">
        <f>IF(AND('Mapa final'!$X$12="Alta",'Mapa final'!$Z$12="Menor"),CONCATENATE("R1C",'Mapa final'!$N$12),"")</f>
        <v/>
      </c>
      <c r="R16" s="125" t="str">
        <f>IF(AND('Mapa final'!$X$13="Alta",'Mapa final'!$Z$13="Menor"),CONCATENATE("R1C",'Mapa final'!$N$13),"")</f>
        <v/>
      </c>
      <c r="S16" s="125" t="str">
        <f>IF(AND('Mapa final'!$X$14="Alta",'Mapa final'!$Z$14="Menor"),CONCATENATE("R1C",'Mapa final'!$N$14),"")</f>
        <v/>
      </c>
      <c r="T16" s="125" t="str">
        <f>IF(AND('Mapa final'!$X$15="Alta",'Mapa final'!$Z$15="Menor"),CONCATENATE("R1C",'Mapa final'!$N$15),"")</f>
        <v/>
      </c>
      <c r="U16" s="126" t="str">
        <f>IF(AND('Mapa final'!$X$16="Alta",'Mapa final'!$Z$16="Menor"),CONCATENATE("R1C",'Mapa final'!$N$16),"")</f>
        <v/>
      </c>
      <c r="V16" s="104" t="str">
        <f>IF(AND('Mapa final'!$X$11="Alta",'Mapa final'!$Z$11="Moderado"),CONCATENATE("R1C",'Mapa final'!$N$11),"")</f>
        <v/>
      </c>
      <c r="W16" s="105" t="str">
        <f>IF(AND('Mapa final'!$X$12="Alta",'Mapa final'!$Z$12="Moderado"),CONCATENATE("R1C",'Mapa final'!$N$12),"")</f>
        <v/>
      </c>
      <c r="X16" s="105" t="str">
        <f>IF(AND('Mapa final'!$X$13="Alta",'Mapa final'!$Z$13="Moderado"),CONCATENATE("R1C",'Mapa final'!$N$13),"")</f>
        <v/>
      </c>
      <c r="Y16" s="105" t="str">
        <f>IF(AND('Mapa final'!$X$14="Alta",'Mapa final'!$Z$14="Moderado"),CONCATENATE("R1C",'Mapa final'!$N$14),"")</f>
        <v/>
      </c>
      <c r="Z16" s="105" t="str">
        <f>IF(AND('Mapa final'!$X$15="Alta",'Mapa final'!$Z$15="Moderado"),CONCATENATE("R1C",'Mapa final'!$N$15),"")</f>
        <v/>
      </c>
      <c r="AA16" s="106" t="str">
        <f>IF(AND('Mapa final'!$X$16="Alta",'Mapa final'!$Z$16="Moderado"),CONCATENATE("R1C",'Mapa final'!$N$16),"")</f>
        <v/>
      </c>
      <c r="AB16" s="104" t="str">
        <f>IF(AND('Mapa final'!$X$11="Alta",'Mapa final'!$Z$11="Mayor"),CONCATENATE("R1C",'Mapa final'!$N$11),"")</f>
        <v/>
      </c>
      <c r="AC16" s="105" t="str">
        <f>IF(AND('Mapa final'!$X$12="Alta",'Mapa final'!$Z$12="Mayor"),CONCATENATE("R1C",'Mapa final'!$N$12),"")</f>
        <v/>
      </c>
      <c r="AD16" s="105" t="str">
        <f>IF(AND('Mapa final'!$X$13="Alta",'Mapa final'!$Z$13="Mayor"),CONCATENATE("R1C",'Mapa final'!$N$13),"")</f>
        <v/>
      </c>
      <c r="AE16" s="105" t="str">
        <f>IF(AND('Mapa final'!$X$14="Alta",'Mapa final'!$Z$14="Mayor"),CONCATENATE("R1C",'Mapa final'!$N$14),"")</f>
        <v/>
      </c>
      <c r="AF16" s="105" t="str">
        <f>IF(AND('Mapa final'!$X$15="Alta",'Mapa final'!$Z$15="Mayor"),CONCATENATE("R1C",'Mapa final'!$N$15),"")</f>
        <v/>
      </c>
      <c r="AG16" s="106" t="str">
        <f>IF(AND('Mapa final'!$X$16="Alta",'Mapa final'!$Z$16="Mayor"),CONCATENATE("R1C",'Mapa final'!$N$16),"")</f>
        <v/>
      </c>
      <c r="AH16" s="115" t="str">
        <f>IF(AND('Mapa final'!$X$11="Alta",'Mapa final'!$Z$11="Catastrófico"),CONCATENATE("R1C",'Mapa final'!$N$11),"")</f>
        <v/>
      </c>
      <c r="AI16" s="116" t="str">
        <f>IF(AND('Mapa final'!$X$12="Alta",'Mapa final'!$Z$12="Catastrófico"),CONCATENATE("R1C",'Mapa final'!$N$12),"")</f>
        <v/>
      </c>
      <c r="AJ16" s="116" t="str">
        <f>IF(AND('Mapa final'!$X$13="Alta",'Mapa final'!$Z$13="Catastrófico"),CONCATENATE("R1C",'Mapa final'!$N$13),"")</f>
        <v/>
      </c>
      <c r="AK16" s="116" t="str">
        <f>IF(AND('Mapa final'!$X$14="Alta",'Mapa final'!$Z$14="Catastrófico"),CONCATENATE("R1C",'Mapa final'!$N$14),"")</f>
        <v/>
      </c>
      <c r="AL16" s="116" t="str">
        <f>IF(AND('Mapa final'!$X$15="Alta",'Mapa final'!$Z$15="Catastrófico"),CONCATENATE("R1C",'Mapa final'!$N$15),"")</f>
        <v/>
      </c>
      <c r="AM16" s="117" t="str">
        <f>IF(AND('Mapa final'!$X$16="Alta",'Mapa final'!$Z$16="Catastrófico"),CONCATENATE("R1C",'Mapa final'!$N$16),"")</f>
        <v/>
      </c>
      <c r="AN16" s="50"/>
      <c r="AO16" s="345" t="s">
        <v>79</v>
      </c>
      <c r="AP16" s="346"/>
      <c r="AQ16" s="346"/>
      <c r="AR16" s="346"/>
      <c r="AS16" s="346"/>
      <c r="AT16" s="347"/>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row>
    <row r="17" spans="1:76" ht="20.100000000000001" customHeight="1" x14ac:dyDescent="0.3">
      <c r="A17" s="50"/>
      <c r="B17" s="257"/>
      <c r="C17" s="257"/>
      <c r="D17" s="258"/>
      <c r="E17" s="356"/>
      <c r="F17" s="357"/>
      <c r="G17" s="357"/>
      <c r="H17" s="357"/>
      <c r="I17" s="357"/>
      <c r="J17" s="114" t="str">
        <f>IF(AND('Mapa final'!$X$17="Alta",'Mapa final'!$Z$17="Leve"),CONCATENATE("R2C",'Mapa final'!$N$17),"")</f>
        <v/>
      </c>
      <c r="K17" s="127" t="str">
        <f>IF(AND('Mapa final'!$X$18="Alta",'Mapa final'!$Z$18="Leve"),CONCATENATE("R2C",'Mapa final'!$N$18),"")</f>
        <v/>
      </c>
      <c r="L17" s="127" t="str">
        <f>IF(AND('Mapa final'!$X$19="Alta",'Mapa final'!$Z$19="Leve"),CONCATENATE("R2C",'Mapa final'!$N$19),"")</f>
        <v/>
      </c>
      <c r="M17" s="127" t="str">
        <f>IF(AND('Mapa final'!$X$20="Alta",'Mapa final'!$Z$20="Leve"),CONCATENATE("R2C",'Mapa final'!$N$20),"")</f>
        <v/>
      </c>
      <c r="N17" s="127" t="str">
        <f>IF(AND('Mapa final'!$X$21="Alta",'Mapa final'!$Z$21="Leve"),CONCATENATE("R2C",'Mapa final'!$N$21),"")</f>
        <v/>
      </c>
      <c r="O17" s="128" t="str">
        <f>IF(AND('Mapa final'!$X$22="Alta",'Mapa final'!$Z$22="Leve"),CONCATENATE("R2C",'Mapa final'!$N$22),"")</f>
        <v/>
      </c>
      <c r="P17" s="114" t="str">
        <f>IF(AND('Mapa final'!$X$17="Alta",'Mapa final'!$Z$17="Menor"),CONCATENATE("R2C",'Mapa final'!$N$17),"")</f>
        <v/>
      </c>
      <c r="Q17" s="127" t="str">
        <f>IF(AND('Mapa final'!$X$18="Alta",'Mapa final'!$Z$18="Menor"),CONCATENATE("R2C",'Mapa final'!$N$18),"")</f>
        <v/>
      </c>
      <c r="R17" s="127" t="str">
        <f>IF(AND('Mapa final'!$X$19="Alta",'Mapa final'!$Z$19="Menor"),CONCATENATE("R2C",'Mapa final'!$N$19),"")</f>
        <v/>
      </c>
      <c r="S17" s="127" t="str">
        <f>IF(AND('Mapa final'!$X$20="Alta",'Mapa final'!$Z$20="Menor"),CONCATENATE("R2C",'Mapa final'!$N$20),"")</f>
        <v/>
      </c>
      <c r="T17" s="127" t="str">
        <f>IF(AND('Mapa final'!$X$21="Alta",'Mapa final'!$Z$21="Menor"),CONCATENATE("R2C",'Mapa final'!$N$21),"")</f>
        <v/>
      </c>
      <c r="U17" s="128" t="str">
        <f>IF(AND('Mapa final'!$X$22="Alta",'Mapa final'!$Z$22="Menor"),CONCATENATE("R2C",'Mapa final'!$N$22),"")</f>
        <v/>
      </c>
      <c r="V17" s="107" t="str">
        <f>IF(AND('Mapa final'!$X$17="Alta",'Mapa final'!$Z$17="Moderado"),CONCATENATE("R2C",'Mapa final'!$N$17),"")</f>
        <v/>
      </c>
      <c r="W17" s="108" t="str">
        <f>IF(AND('Mapa final'!$X$18="Alta",'Mapa final'!$Z$18="Moderado"),CONCATENATE("R2C",'Mapa final'!$N$18),"")</f>
        <v/>
      </c>
      <c r="X17" s="108" t="str">
        <f>IF(AND('Mapa final'!$X$19="Alta",'Mapa final'!$Z$19="Moderado"),CONCATENATE("R2C",'Mapa final'!$N$19),"")</f>
        <v/>
      </c>
      <c r="Y17" s="108" t="str">
        <f>IF(AND('Mapa final'!$X$20="Alta",'Mapa final'!$Z$20="Moderado"),CONCATENATE("R2C",'Mapa final'!$N$20),"")</f>
        <v/>
      </c>
      <c r="Z17" s="108" t="str">
        <f>IF(AND('Mapa final'!$X$21="Alta",'Mapa final'!$Z$21="Moderado"),CONCATENATE("R2C",'Mapa final'!$N$21),"")</f>
        <v/>
      </c>
      <c r="AA17" s="109" t="str">
        <f>IF(AND('Mapa final'!$X$22="Alta",'Mapa final'!$Z$22="Moderado"),CONCATENATE("R2C",'Mapa final'!$N$22),"")</f>
        <v/>
      </c>
      <c r="AB17" s="107" t="str">
        <f>IF(AND('Mapa final'!$X$17="Alta",'Mapa final'!$Z$17="Mayor"),CONCATENATE("R2C",'Mapa final'!$N$17),"")</f>
        <v/>
      </c>
      <c r="AC17" s="108" t="str">
        <f>IF(AND('Mapa final'!$X$18="Alta",'Mapa final'!$Z$18="Mayor"),CONCATENATE("R2C",'Mapa final'!$N$18),"")</f>
        <v/>
      </c>
      <c r="AD17" s="108" t="str">
        <f>IF(AND('Mapa final'!$X$19="Alta",'Mapa final'!$Z$19="Mayor"),CONCATENATE("R2C",'Mapa final'!$N$19),"")</f>
        <v/>
      </c>
      <c r="AE17" s="108" t="str">
        <f>IF(AND('Mapa final'!$X$20="Alta",'Mapa final'!$Z$20="Mayor"),CONCATENATE("R2C",'Mapa final'!$N$20),"")</f>
        <v/>
      </c>
      <c r="AF17" s="108" t="str">
        <f>IF(AND('Mapa final'!$X$21="Alta",'Mapa final'!$Z$21="Mayor"),CONCATENATE("R2C",'Mapa final'!$N$21),"")</f>
        <v/>
      </c>
      <c r="AG17" s="109" t="str">
        <f>IF(AND('Mapa final'!$X$22="Alta",'Mapa final'!$Z$22="Mayor"),CONCATENATE("R2C",'Mapa final'!$N$22),"")</f>
        <v/>
      </c>
      <c r="AH17" s="118" t="str">
        <f>IF(AND('Mapa final'!$X$17="Alta",'Mapa final'!$Z$17="Catastrófico"),CONCATENATE("R2C",'Mapa final'!$N$17),"")</f>
        <v/>
      </c>
      <c r="AI17" s="119" t="str">
        <f>IF(AND('Mapa final'!$X$18="Alta",'Mapa final'!$Z$18="Catastrófico"),CONCATENATE("R2C",'Mapa final'!$N$18),"")</f>
        <v/>
      </c>
      <c r="AJ17" s="119" t="str">
        <f>IF(AND('Mapa final'!$X$19="Alta",'Mapa final'!$Z$19="Catastrófico"),CONCATENATE("R2C",'Mapa final'!$N$19),"")</f>
        <v/>
      </c>
      <c r="AK17" s="119" t="str">
        <f>IF(AND('Mapa final'!$X$20="Alta",'Mapa final'!$Z$20="Catastrófico"),CONCATENATE("R2C",'Mapa final'!$N$20),"")</f>
        <v/>
      </c>
      <c r="AL17" s="119" t="str">
        <f>IF(AND('Mapa final'!$X$21="Alta",'Mapa final'!$Z$21="Catastrófico"),CONCATENATE("R2C",'Mapa final'!$N$21),"")</f>
        <v/>
      </c>
      <c r="AM17" s="120" t="str">
        <f>IF(AND('Mapa final'!$X$22="Alta",'Mapa final'!$Z$22="Catastrófico"),CONCATENATE("R2C",'Mapa final'!$N$22),"")</f>
        <v/>
      </c>
      <c r="AN17" s="50"/>
      <c r="AO17" s="348"/>
      <c r="AP17" s="349"/>
      <c r="AQ17" s="349"/>
      <c r="AR17" s="349"/>
      <c r="AS17" s="349"/>
      <c r="AT17" s="3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row>
    <row r="18" spans="1:76" ht="20.100000000000001" customHeight="1" x14ac:dyDescent="0.3">
      <c r="A18" s="50"/>
      <c r="B18" s="257"/>
      <c r="C18" s="257"/>
      <c r="D18" s="258"/>
      <c r="E18" s="358"/>
      <c r="F18" s="359"/>
      <c r="G18" s="359"/>
      <c r="H18" s="359"/>
      <c r="I18" s="357"/>
      <c r="J18" s="114" t="e">
        <f>IF(AND('Mapa final'!#REF!="Alta",'Mapa final'!#REF!="Leve"),CONCATENATE("R3C",'Mapa final'!#REF!),"")</f>
        <v>#REF!</v>
      </c>
      <c r="K18" s="127" t="e">
        <f>IF(AND('Mapa final'!#REF!="Alta",'Mapa final'!#REF!="Leve"),CONCATENATE("R3C",'Mapa final'!#REF!),"")</f>
        <v>#REF!</v>
      </c>
      <c r="L18" s="127" t="e">
        <f>IF(AND('Mapa final'!#REF!="Alta",'Mapa final'!#REF!="Leve"),CONCATENATE("R3C",'Mapa final'!#REF!),"")</f>
        <v>#REF!</v>
      </c>
      <c r="M18" s="127" t="e">
        <f>IF(AND('Mapa final'!#REF!="Alta",'Mapa final'!#REF!="Leve"),CONCATENATE("R3C",'Mapa final'!#REF!),"")</f>
        <v>#REF!</v>
      </c>
      <c r="N18" s="127" t="e">
        <f>IF(AND('Mapa final'!#REF!="Alta",'Mapa final'!#REF!="Leve"),CONCATENATE("R3C",'Mapa final'!#REF!),"")</f>
        <v>#REF!</v>
      </c>
      <c r="O18" s="128" t="e">
        <f>IF(AND('Mapa final'!#REF!="Alta",'Mapa final'!#REF!="Leve"),CONCATENATE("R3C",'Mapa final'!#REF!),"")</f>
        <v>#REF!</v>
      </c>
      <c r="P18" s="114" t="e">
        <f>IF(AND('Mapa final'!#REF!="Alta",'Mapa final'!#REF!="Menor"),CONCATENATE("R3C",'Mapa final'!#REF!),"")</f>
        <v>#REF!</v>
      </c>
      <c r="Q18" s="127" t="e">
        <f>IF(AND('Mapa final'!#REF!="Alta",'Mapa final'!#REF!="Menor"),CONCATENATE("R3C",'Mapa final'!#REF!),"")</f>
        <v>#REF!</v>
      </c>
      <c r="R18" s="127" t="e">
        <f>IF(AND('Mapa final'!#REF!="Alta",'Mapa final'!#REF!="Menor"),CONCATENATE("R3C",'Mapa final'!#REF!),"")</f>
        <v>#REF!</v>
      </c>
      <c r="S18" s="127" t="e">
        <f>IF(AND('Mapa final'!#REF!="Alta",'Mapa final'!#REF!="Menor"),CONCATENATE("R3C",'Mapa final'!#REF!),"")</f>
        <v>#REF!</v>
      </c>
      <c r="T18" s="127" t="e">
        <f>IF(AND('Mapa final'!#REF!="Alta",'Mapa final'!#REF!="Menor"),CONCATENATE("R3C",'Mapa final'!#REF!),"")</f>
        <v>#REF!</v>
      </c>
      <c r="U18" s="128" t="e">
        <f>IF(AND('Mapa final'!#REF!="Alta",'Mapa final'!#REF!="Menor"),CONCATENATE("R3C",'Mapa final'!#REF!),"")</f>
        <v>#REF!</v>
      </c>
      <c r="V18" s="107" t="e">
        <f>IF(AND('Mapa final'!#REF!="Alta",'Mapa final'!#REF!="Moderado"),CONCATENATE("R3C",'Mapa final'!#REF!),"")</f>
        <v>#REF!</v>
      </c>
      <c r="W18" s="108" t="e">
        <f>IF(AND('Mapa final'!#REF!="Alta",'Mapa final'!#REF!="Moderado"),CONCATENATE("R3C",'Mapa final'!#REF!),"")</f>
        <v>#REF!</v>
      </c>
      <c r="X18" s="108" t="e">
        <f>IF(AND('Mapa final'!#REF!="Alta",'Mapa final'!#REF!="Moderado"),CONCATENATE("R3C",'Mapa final'!#REF!),"")</f>
        <v>#REF!</v>
      </c>
      <c r="Y18" s="108" t="e">
        <f>IF(AND('Mapa final'!#REF!="Alta",'Mapa final'!#REF!="Moderado"),CONCATENATE("R3C",'Mapa final'!#REF!),"")</f>
        <v>#REF!</v>
      </c>
      <c r="Z18" s="108" t="e">
        <f>IF(AND('Mapa final'!#REF!="Alta",'Mapa final'!#REF!="Moderado"),CONCATENATE("R3C",'Mapa final'!#REF!),"")</f>
        <v>#REF!</v>
      </c>
      <c r="AA18" s="109" t="e">
        <f>IF(AND('Mapa final'!#REF!="Alta",'Mapa final'!#REF!="Moderado"),CONCATENATE("R3C",'Mapa final'!#REF!),"")</f>
        <v>#REF!</v>
      </c>
      <c r="AB18" s="107" t="e">
        <f>IF(AND('Mapa final'!#REF!="Alta",'Mapa final'!#REF!="Mayor"),CONCATENATE("R3C",'Mapa final'!#REF!),"")</f>
        <v>#REF!</v>
      </c>
      <c r="AC18" s="108" t="e">
        <f>IF(AND('Mapa final'!#REF!="Alta",'Mapa final'!#REF!="Mayor"),CONCATENATE("R3C",'Mapa final'!#REF!),"")</f>
        <v>#REF!</v>
      </c>
      <c r="AD18" s="108" t="e">
        <f>IF(AND('Mapa final'!#REF!="Alta",'Mapa final'!#REF!="Mayor"),CONCATENATE("R3C",'Mapa final'!#REF!),"")</f>
        <v>#REF!</v>
      </c>
      <c r="AE18" s="108" t="e">
        <f>IF(AND('Mapa final'!#REF!="Alta",'Mapa final'!#REF!="Mayor"),CONCATENATE("R3C",'Mapa final'!#REF!),"")</f>
        <v>#REF!</v>
      </c>
      <c r="AF18" s="108" t="e">
        <f>IF(AND('Mapa final'!#REF!="Alta",'Mapa final'!#REF!="Mayor"),CONCATENATE("R3C",'Mapa final'!#REF!),"")</f>
        <v>#REF!</v>
      </c>
      <c r="AG18" s="109" t="e">
        <f>IF(AND('Mapa final'!#REF!="Alta",'Mapa final'!#REF!="Mayor"),CONCATENATE("R3C",'Mapa final'!#REF!),"")</f>
        <v>#REF!</v>
      </c>
      <c r="AH18" s="118" t="e">
        <f>IF(AND('Mapa final'!#REF!="Alta",'Mapa final'!#REF!="Catastrófico"),CONCATENATE("R3C",'Mapa final'!#REF!),"")</f>
        <v>#REF!</v>
      </c>
      <c r="AI18" s="119" t="e">
        <f>IF(AND('Mapa final'!#REF!="Alta",'Mapa final'!#REF!="Catastrófico"),CONCATENATE("R3C",'Mapa final'!#REF!),"")</f>
        <v>#REF!</v>
      </c>
      <c r="AJ18" s="119" t="e">
        <f>IF(AND('Mapa final'!#REF!="Alta",'Mapa final'!#REF!="Catastrófico"),CONCATENATE("R3C",'Mapa final'!#REF!),"")</f>
        <v>#REF!</v>
      </c>
      <c r="AK18" s="119" t="e">
        <f>IF(AND('Mapa final'!#REF!="Alta",'Mapa final'!#REF!="Catastrófico"),CONCATENATE("R3C",'Mapa final'!#REF!),"")</f>
        <v>#REF!</v>
      </c>
      <c r="AL18" s="119" t="e">
        <f>IF(AND('Mapa final'!#REF!="Alta",'Mapa final'!#REF!="Catastrófico"),CONCATENATE("R3C",'Mapa final'!#REF!),"")</f>
        <v>#REF!</v>
      </c>
      <c r="AM18" s="120" t="e">
        <f>IF(AND('Mapa final'!#REF!="Alta",'Mapa final'!#REF!="Catastrófico"),CONCATENATE("R3C",'Mapa final'!#REF!),"")</f>
        <v>#REF!</v>
      </c>
      <c r="AN18" s="50"/>
      <c r="AO18" s="348"/>
      <c r="AP18" s="349"/>
      <c r="AQ18" s="349"/>
      <c r="AR18" s="349"/>
      <c r="AS18" s="349"/>
      <c r="AT18" s="3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row>
    <row r="19" spans="1:76" ht="20.100000000000001" customHeight="1" x14ac:dyDescent="0.3">
      <c r="A19" s="50"/>
      <c r="B19" s="257"/>
      <c r="C19" s="257"/>
      <c r="D19" s="258"/>
      <c r="E19" s="358"/>
      <c r="F19" s="359"/>
      <c r="G19" s="359"/>
      <c r="H19" s="359"/>
      <c r="I19" s="357"/>
      <c r="J19" s="114" t="e">
        <f>IF(AND('Mapa final'!#REF!="Alta",'Mapa final'!#REF!="Leve"),CONCATENATE("R4C",'Mapa final'!#REF!),"")</f>
        <v>#REF!</v>
      </c>
      <c r="K19" s="127" t="e">
        <f>IF(AND('Mapa final'!#REF!="Alta",'Mapa final'!#REF!="Leve"),CONCATENATE("R4C",'Mapa final'!#REF!),"")</f>
        <v>#REF!</v>
      </c>
      <c r="L19" s="127" t="e">
        <f>IF(AND('Mapa final'!#REF!="Alta",'Mapa final'!#REF!="Leve"),CONCATENATE("R4C",'Mapa final'!#REF!),"")</f>
        <v>#REF!</v>
      </c>
      <c r="M19" s="127" t="e">
        <f>IF(AND('Mapa final'!#REF!="Alta",'Mapa final'!#REF!="Leve"),CONCATENATE("R4C",'Mapa final'!#REF!),"")</f>
        <v>#REF!</v>
      </c>
      <c r="N19" s="127" t="e">
        <f>IF(AND('Mapa final'!#REF!="Alta",'Mapa final'!#REF!="Leve"),CONCATENATE("R4C",'Mapa final'!#REF!),"")</f>
        <v>#REF!</v>
      </c>
      <c r="O19" s="128" t="e">
        <f>IF(AND('Mapa final'!#REF!="Alta",'Mapa final'!#REF!="Leve"),CONCATENATE("R4C",'Mapa final'!#REF!),"")</f>
        <v>#REF!</v>
      </c>
      <c r="P19" s="114" t="e">
        <f>IF(AND('Mapa final'!#REF!="Alta",'Mapa final'!#REF!="Menor"),CONCATENATE("R4C",'Mapa final'!#REF!),"")</f>
        <v>#REF!</v>
      </c>
      <c r="Q19" s="127" t="e">
        <f>IF(AND('Mapa final'!#REF!="Alta",'Mapa final'!#REF!="Menor"),CONCATENATE("R4C",'Mapa final'!#REF!),"")</f>
        <v>#REF!</v>
      </c>
      <c r="R19" s="127" t="e">
        <f>IF(AND('Mapa final'!#REF!="Alta",'Mapa final'!#REF!="Menor"),CONCATENATE("R4C",'Mapa final'!#REF!),"")</f>
        <v>#REF!</v>
      </c>
      <c r="S19" s="127" t="e">
        <f>IF(AND('Mapa final'!#REF!="Alta",'Mapa final'!#REF!="Menor"),CONCATENATE("R4C",'Mapa final'!#REF!),"")</f>
        <v>#REF!</v>
      </c>
      <c r="T19" s="127" t="e">
        <f>IF(AND('Mapa final'!#REF!="Alta",'Mapa final'!#REF!="Menor"),CONCATENATE("R4C",'Mapa final'!#REF!),"")</f>
        <v>#REF!</v>
      </c>
      <c r="U19" s="128" t="e">
        <f>IF(AND('Mapa final'!#REF!="Alta",'Mapa final'!#REF!="Menor"),CONCATENATE("R4C",'Mapa final'!#REF!),"")</f>
        <v>#REF!</v>
      </c>
      <c r="V19" s="107" t="e">
        <f>IF(AND('Mapa final'!#REF!="Alta",'Mapa final'!#REF!="Moderado"),CONCATENATE("R4C",'Mapa final'!#REF!),"")</f>
        <v>#REF!</v>
      </c>
      <c r="W19" s="108" t="e">
        <f>IF(AND('Mapa final'!#REF!="Alta",'Mapa final'!#REF!="Moderado"),CONCATENATE("R4C",'Mapa final'!#REF!),"")</f>
        <v>#REF!</v>
      </c>
      <c r="X19" s="110" t="e">
        <f>IF(AND('Mapa final'!#REF!="Alta",'Mapa final'!#REF!="Moderado"),CONCATENATE("R4C",'Mapa final'!#REF!),"")</f>
        <v>#REF!</v>
      </c>
      <c r="Y19" s="110" t="e">
        <f>IF(AND('Mapa final'!#REF!="Alta",'Mapa final'!#REF!="Moderado"),CONCATENATE("R4C",'Mapa final'!#REF!),"")</f>
        <v>#REF!</v>
      </c>
      <c r="Z19" s="110" t="e">
        <f>IF(AND('Mapa final'!#REF!="Alta",'Mapa final'!#REF!="Moderado"),CONCATENATE("R4C",'Mapa final'!#REF!),"")</f>
        <v>#REF!</v>
      </c>
      <c r="AA19" s="109" t="e">
        <f>IF(AND('Mapa final'!#REF!="Alta",'Mapa final'!#REF!="Moderado"),CONCATENATE("R4C",'Mapa final'!#REF!),"")</f>
        <v>#REF!</v>
      </c>
      <c r="AB19" s="107" t="e">
        <f>IF(AND('Mapa final'!#REF!="Alta",'Mapa final'!#REF!="Mayor"),CONCATENATE("R4C",'Mapa final'!#REF!),"")</f>
        <v>#REF!</v>
      </c>
      <c r="AC19" s="108" t="e">
        <f>IF(AND('Mapa final'!#REF!="Alta",'Mapa final'!#REF!="Mayor"),CONCATENATE("R4C",'Mapa final'!#REF!),"")</f>
        <v>#REF!</v>
      </c>
      <c r="AD19" s="110" t="e">
        <f>IF(AND('Mapa final'!#REF!="Alta",'Mapa final'!#REF!="Mayor"),CONCATENATE("R4C",'Mapa final'!#REF!),"")</f>
        <v>#REF!</v>
      </c>
      <c r="AE19" s="110" t="e">
        <f>IF(AND('Mapa final'!#REF!="Alta",'Mapa final'!#REF!="Mayor"),CONCATENATE("R4C",'Mapa final'!#REF!),"")</f>
        <v>#REF!</v>
      </c>
      <c r="AF19" s="110" t="e">
        <f>IF(AND('Mapa final'!#REF!="Alta",'Mapa final'!#REF!="Mayor"),CONCATENATE("R4C",'Mapa final'!#REF!),"")</f>
        <v>#REF!</v>
      </c>
      <c r="AG19" s="109" t="e">
        <f>IF(AND('Mapa final'!#REF!="Alta",'Mapa final'!#REF!="Mayor"),CONCATENATE("R4C",'Mapa final'!#REF!),"")</f>
        <v>#REF!</v>
      </c>
      <c r="AH19" s="118" t="e">
        <f>IF(AND('Mapa final'!#REF!="Alta",'Mapa final'!#REF!="Catastrófico"),CONCATENATE("R4C",'Mapa final'!#REF!),"")</f>
        <v>#REF!</v>
      </c>
      <c r="AI19" s="119" t="e">
        <f>IF(AND('Mapa final'!#REF!="Alta",'Mapa final'!#REF!="Catastrófico"),CONCATENATE("R4C",'Mapa final'!#REF!),"")</f>
        <v>#REF!</v>
      </c>
      <c r="AJ19" s="119" t="e">
        <f>IF(AND('Mapa final'!#REF!="Alta",'Mapa final'!#REF!="Catastrófico"),CONCATENATE("R4C",'Mapa final'!#REF!),"")</f>
        <v>#REF!</v>
      </c>
      <c r="AK19" s="119" t="e">
        <f>IF(AND('Mapa final'!#REF!="Alta",'Mapa final'!#REF!="Catastrófico"),CONCATENATE("R4C",'Mapa final'!#REF!),"")</f>
        <v>#REF!</v>
      </c>
      <c r="AL19" s="119" t="e">
        <f>IF(AND('Mapa final'!#REF!="Alta",'Mapa final'!#REF!="Catastrófico"),CONCATENATE("R4C",'Mapa final'!#REF!),"")</f>
        <v>#REF!</v>
      </c>
      <c r="AM19" s="120" t="e">
        <f>IF(AND('Mapa final'!#REF!="Alta",'Mapa final'!#REF!="Catastrófico"),CONCATENATE("R4C",'Mapa final'!#REF!),"")</f>
        <v>#REF!</v>
      </c>
      <c r="AN19" s="50"/>
      <c r="AO19" s="348"/>
      <c r="AP19" s="349"/>
      <c r="AQ19" s="349"/>
      <c r="AR19" s="349"/>
      <c r="AS19" s="349"/>
      <c r="AT19" s="3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row>
    <row r="20" spans="1:76" ht="20.100000000000001" customHeight="1" x14ac:dyDescent="0.3">
      <c r="A20" s="50"/>
      <c r="B20" s="257"/>
      <c r="C20" s="257"/>
      <c r="D20" s="258"/>
      <c r="E20" s="358"/>
      <c r="F20" s="359"/>
      <c r="G20" s="359"/>
      <c r="H20" s="359"/>
      <c r="I20" s="357"/>
      <c r="J20" s="114" t="str">
        <f>IF(AND('Mapa final'!$X$23="Alta",'Mapa final'!$Z$23="Leve"),CONCATENATE("R5C",'Mapa final'!$N$23),"")</f>
        <v/>
      </c>
      <c r="K20" s="127" t="str">
        <f>IF(AND('Mapa final'!$X$24="Alta",'Mapa final'!$Z$24="Leve"),CONCATENATE("R5C",'Mapa final'!$N$24),"")</f>
        <v/>
      </c>
      <c r="L20" s="127" t="str">
        <f>IF(AND('Mapa final'!$X$25="Alta",'Mapa final'!$Z$25="Leve"),CONCATENATE("R5C",'Mapa final'!$N$25),"")</f>
        <v/>
      </c>
      <c r="M20" s="127" t="str">
        <f>IF(AND('Mapa final'!$X$26="Alta",'Mapa final'!$Z$26="Leve"),CONCATENATE("R5C",'Mapa final'!$N$26),"")</f>
        <v/>
      </c>
      <c r="N20" s="127" t="str">
        <f>IF(AND('Mapa final'!$X$27="Alta",'Mapa final'!$Z$27="Leve"),CONCATENATE("R5C",'Mapa final'!$N$27),"")</f>
        <v/>
      </c>
      <c r="O20" s="128" t="str">
        <f>IF(AND('Mapa final'!$X$28="Alta",'Mapa final'!$Z$28="Leve"),CONCATENATE("R5C",'Mapa final'!$N$28),"")</f>
        <v/>
      </c>
      <c r="P20" s="114" t="str">
        <f>IF(AND('Mapa final'!$X$23="Alta",'Mapa final'!$Z$23="Menor"),CONCATENATE("R5C",'Mapa final'!$N$23),"")</f>
        <v/>
      </c>
      <c r="Q20" s="127" t="str">
        <f>IF(AND('Mapa final'!$X$24="Alta",'Mapa final'!$Z$24="Menor"),CONCATENATE("R5C",'Mapa final'!$N$24),"")</f>
        <v/>
      </c>
      <c r="R20" s="127" t="str">
        <f>IF(AND('Mapa final'!$X$25="Alta",'Mapa final'!$Z$25="Menor"),CONCATENATE("R5C",'Mapa final'!$N$25),"")</f>
        <v/>
      </c>
      <c r="S20" s="127" t="str">
        <f>IF(AND('Mapa final'!$X$26="Alta",'Mapa final'!$Z$26="Menor"),CONCATENATE("R5C",'Mapa final'!$N$26),"")</f>
        <v/>
      </c>
      <c r="T20" s="127" t="str">
        <f>IF(AND('Mapa final'!$X$27="Alta",'Mapa final'!$Z$27="Menor"),CONCATENATE("R5C",'Mapa final'!$N$27),"")</f>
        <v/>
      </c>
      <c r="U20" s="128" t="str">
        <f>IF(AND('Mapa final'!$X$28="Alta",'Mapa final'!$Z$28="Menor"),CONCATENATE("R5C",'Mapa final'!$N$28),"")</f>
        <v/>
      </c>
      <c r="V20" s="107" t="str">
        <f>IF(AND('Mapa final'!$X$23="Alta",'Mapa final'!$Z$23="Moderado"),CONCATENATE("R5C",'Mapa final'!$N$23),"")</f>
        <v/>
      </c>
      <c r="W20" s="108" t="str">
        <f>IF(AND('Mapa final'!$X$24="Alta",'Mapa final'!$Z$24="Moderado"),CONCATENATE("R5C",'Mapa final'!$N$24),"")</f>
        <v/>
      </c>
      <c r="X20" s="110" t="str">
        <f>IF(AND('Mapa final'!$X$25="Alta",'Mapa final'!$Z$25="Moderado"),CONCATENATE("R5C",'Mapa final'!$N$25),"")</f>
        <v/>
      </c>
      <c r="Y20" s="110" t="str">
        <f>IF(AND('Mapa final'!$X$26="Alta",'Mapa final'!$Z$26="Moderado"),CONCATENATE("R5C",'Mapa final'!$N$26),"")</f>
        <v/>
      </c>
      <c r="Z20" s="110" t="str">
        <f>IF(AND('Mapa final'!$X$27="Alta",'Mapa final'!$Z$27="Moderado"),CONCATENATE("R5C",'Mapa final'!$N$27),"")</f>
        <v/>
      </c>
      <c r="AA20" s="109" t="str">
        <f>IF(AND('Mapa final'!$X$28="Alta",'Mapa final'!$Z$28="Moderado"),CONCATENATE("R5C",'Mapa final'!$N$28),"")</f>
        <v/>
      </c>
      <c r="AB20" s="107" t="str">
        <f>IF(AND('Mapa final'!$X$23="Alta",'Mapa final'!$Z$23="Mayor"),CONCATENATE("R5C",'Mapa final'!$N$23),"")</f>
        <v/>
      </c>
      <c r="AC20" s="108" t="str">
        <f>IF(AND('Mapa final'!$X$24="Alta",'Mapa final'!$Z$24="Mayor"),CONCATENATE("R5C",'Mapa final'!$N$24),"")</f>
        <v/>
      </c>
      <c r="AD20" s="110" t="str">
        <f>IF(AND('Mapa final'!$X$25="Alta",'Mapa final'!$Z$25="Mayor"),CONCATENATE("R5C",'Mapa final'!$N$25),"")</f>
        <v/>
      </c>
      <c r="AE20" s="110" t="str">
        <f>IF(AND('Mapa final'!$X$26="Alta",'Mapa final'!$Z$26="Mayor"),CONCATENATE("R5C",'Mapa final'!$N$26),"")</f>
        <v/>
      </c>
      <c r="AF20" s="110" t="str">
        <f>IF(AND('Mapa final'!$X$27="Alta",'Mapa final'!$Z$27="Mayor"),CONCATENATE("R5C",'Mapa final'!$N$27),"")</f>
        <v/>
      </c>
      <c r="AG20" s="109" t="str">
        <f>IF(AND('Mapa final'!$X$28="Alta",'Mapa final'!$Z$28="Mayor"),CONCATENATE("R5C",'Mapa final'!$N$28),"")</f>
        <v/>
      </c>
      <c r="AH20" s="118" t="str">
        <f>IF(AND('Mapa final'!$X$23="Alta",'Mapa final'!$Z$23="Catastrófico"),CONCATENATE("R5C",'Mapa final'!$N$23),"")</f>
        <v/>
      </c>
      <c r="AI20" s="119" t="str">
        <f>IF(AND('Mapa final'!$X$24="Alta",'Mapa final'!$Z$24="Catastrófico"),CONCATENATE("R5C",'Mapa final'!$N$24),"")</f>
        <v/>
      </c>
      <c r="AJ20" s="119" t="str">
        <f>IF(AND('Mapa final'!$X$25="Alta",'Mapa final'!$Z$25="Catastrófico"),CONCATENATE("R5C",'Mapa final'!$N$25),"")</f>
        <v/>
      </c>
      <c r="AK20" s="119" t="str">
        <f>IF(AND('Mapa final'!$X$26="Alta",'Mapa final'!$Z$26="Catastrófico"),CONCATENATE("R5C",'Mapa final'!$N$26),"")</f>
        <v/>
      </c>
      <c r="AL20" s="119" t="str">
        <f>IF(AND('Mapa final'!$X$27="Alta",'Mapa final'!$Z$27="Catastrófico"),CONCATENATE("R5C",'Mapa final'!$N$27),"")</f>
        <v/>
      </c>
      <c r="AM20" s="120" t="str">
        <f>IF(AND('Mapa final'!$X$28="Alta",'Mapa final'!$Z$28="Catastrófico"),CONCATENATE("R5C",'Mapa final'!$N$28),"")</f>
        <v/>
      </c>
      <c r="AN20" s="50"/>
      <c r="AO20" s="348"/>
      <c r="AP20" s="349"/>
      <c r="AQ20" s="349"/>
      <c r="AR20" s="349"/>
      <c r="AS20" s="349"/>
      <c r="AT20" s="3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row>
    <row r="21" spans="1:76" ht="20.100000000000001" customHeight="1" x14ac:dyDescent="0.3">
      <c r="A21" s="50"/>
      <c r="B21" s="257"/>
      <c r="C21" s="257"/>
      <c r="D21" s="258"/>
      <c r="E21" s="358"/>
      <c r="F21" s="359"/>
      <c r="G21" s="359"/>
      <c r="H21" s="359"/>
      <c r="I21" s="357"/>
      <c r="J21" s="114" t="str">
        <f>IF(AND('Mapa final'!$X$29="Alta",'Mapa final'!$Z$29="Leve"),CONCATENATE("R6C",'Mapa final'!$N$29),"")</f>
        <v/>
      </c>
      <c r="K21" s="127" t="str">
        <f>IF(AND('Mapa final'!$X$30="Alta",'Mapa final'!$Z$30="Leve"),CONCATENATE("R6C",'Mapa final'!$N$30),"")</f>
        <v/>
      </c>
      <c r="L21" s="127" t="str">
        <f>IF(AND('Mapa final'!$X$31="Alta",'Mapa final'!$Z$31="Leve"),CONCATENATE("R6C",'Mapa final'!$N$31),"")</f>
        <v/>
      </c>
      <c r="M21" s="127" t="str">
        <f>IF(AND('Mapa final'!$X$32="Alta",'Mapa final'!$Z$32="Leve"),CONCATENATE("R6C",'Mapa final'!$N$32),"")</f>
        <v/>
      </c>
      <c r="N21" s="127" t="str">
        <f>IF(AND('Mapa final'!$X$33="Alta",'Mapa final'!$Z$33="Leve"),CONCATENATE("R6C",'Mapa final'!$N$33),"")</f>
        <v/>
      </c>
      <c r="O21" s="128" t="str">
        <f>IF(AND('Mapa final'!$X$34="Alta",'Mapa final'!$Z$34="Leve"),CONCATENATE("R6C",'Mapa final'!$N$34),"")</f>
        <v/>
      </c>
      <c r="P21" s="114" t="str">
        <f>IF(AND('Mapa final'!$X$29="Alta",'Mapa final'!$Z$29="Menor"),CONCATENATE("R6C",'Mapa final'!$N$29),"")</f>
        <v/>
      </c>
      <c r="Q21" s="127" t="str">
        <f>IF(AND('Mapa final'!$X$30="Alta",'Mapa final'!$Z$30="Menor"),CONCATENATE("R6C",'Mapa final'!$N$30),"")</f>
        <v/>
      </c>
      <c r="R21" s="127" t="str">
        <f>IF(AND('Mapa final'!$X$31="Alta",'Mapa final'!$Z$31="Menor"),CONCATENATE("R6C",'Mapa final'!$N$31),"")</f>
        <v/>
      </c>
      <c r="S21" s="127" t="str">
        <f>IF(AND('Mapa final'!$X$32="Alta",'Mapa final'!$Z$32="Menor"),CONCATENATE("R6C",'Mapa final'!$N$32),"")</f>
        <v/>
      </c>
      <c r="T21" s="127" t="str">
        <f>IF(AND('Mapa final'!$X$33="Alta",'Mapa final'!$Z$33="Menor"),CONCATENATE("R6C",'Mapa final'!$N$33),"")</f>
        <v/>
      </c>
      <c r="U21" s="128" t="str">
        <f>IF(AND('Mapa final'!$X$34="Alta",'Mapa final'!$Z$34="Menor"),CONCATENATE("R6C",'Mapa final'!$N$34),"")</f>
        <v/>
      </c>
      <c r="V21" s="107" t="str">
        <f>IF(AND('Mapa final'!$X$29="Alta",'Mapa final'!$Z$29="Moderado"),CONCATENATE("R6C",'Mapa final'!$N$29),"")</f>
        <v/>
      </c>
      <c r="W21" s="108" t="str">
        <f>IF(AND('Mapa final'!$X$30="Alta",'Mapa final'!$Z$30="Moderado"),CONCATENATE("R6C",'Mapa final'!$N$30),"")</f>
        <v/>
      </c>
      <c r="X21" s="110" t="str">
        <f>IF(AND('Mapa final'!$X$31="Alta",'Mapa final'!$Z$31="Moderado"),CONCATENATE("R6C",'Mapa final'!$N$31),"")</f>
        <v/>
      </c>
      <c r="Y21" s="110" t="str">
        <f>IF(AND('Mapa final'!$X$32="Alta",'Mapa final'!$Z$32="Moderado"),CONCATENATE("R6C",'Mapa final'!$N$32),"")</f>
        <v/>
      </c>
      <c r="Z21" s="110" t="str">
        <f>IF(AND('Mapa final'!$X$33="Alta",'Mapa final'!$Z$33="Moderado"),CONCATENATE("R6C",'Mapa final'!$N$33),"")</f>
        <v/>
      </c>
      <c r="AA21" s="109" t="str">
        <f>IF(AND('Mapa final'!$X$34="Alta",'Mapa final'!$Z$34="Moderado"),CONCATENATE("R6C",'Mapa final'!$N$34),"")</f>
        <v/>
      </c>
      <c r="AB21" s="107" t="str">
        <f>IF(AND('Mapa final'!$X$29="Alta",'Mapa final'!$Z$29="Mayor"),CONCATENATE("R6C",'Mapa final'!$N$29),"")</f>
        <v/>
      </c>
      <c r="AC21" s="108" t="str">
        <f>IF(AND('Mapa final'!$X$30="Alta",'Mapa final'!$Z$30="Mayor"),CONCATENATE("R6C",'Mapa final'!$N$30),"")</f>
        <v/>
      </c>
      <c r="AD21" s="110" t="str">
        <f>IF(AND('Mapa final'!$X$31="Alta",'Mapa final'!$Z$31="Mayor"),CONCATENATE("R6C",'Mapa final'!$N$31),"")</f>
        <v/>
      </c>
      <c r="AE21" s="110" t="str">
        <f>IF(AND('Mapa final'!$X$32="Alta",'Mapa final'!$Z$32="Mayor"),CONCATENATE("R6C",'Mapa final'!$N$32),"")</f>
        <v/>
      </c>
      <c r="AF21" s="110" t="str">
        <f>IF(AND('Mapa final'!$X$33="Alta",'Mapa final'!$Z$33="Mayor"),CONCATENATE("R6C",'Mapa final'!$N$33),"")</f>
        <v/>
      </c>
      <c r="AG21" s="109" t="str">
        <f>IF(AND('Mapa final'!$X$34="Alta",'Mapa final'!$Z$34="Mayor"),CONCATENATE("R6C",'Mapa final'!$N$34),"")</f>
        <v/>
      </c>
      <c r="AH21" s="118" t="str">
        <f>IF(AND('Mapa final'!$X$29="Alta",'Mapa final'!$Z$29="Catastrófico"),CONCATENATE("R6C",'Mapa final'!$N$29),"")</f>
        <v/>
      </c>
      <c r="AI21" s="119" t="str">
        <f>IF(AND('Mapa final'!$X$30="Alta",'Mapa final'!$Z$30="Catastrófico"),CONCATENATE("R6C",'Mapa final'!$N$30),"")</f>
        <v/>
      </c>
      <c r="AJ21" s="119" t="str">
        <f>IF(AND('Mapa final'!$X$31="Alta",'Mapa final'!$Z$31="Catastrófico"),CONCATENATE("R6C",'Mapa final'!$N$31),"")</f>
        <v/>
      </c>
      <c r="AK21" s="119" t="str">
        <f>IF(AND('Mapa final'!$X$32="Alta",'Mapa final'!$Z$32="Catastrófico"),CONCATENATE("R6C",'Mapa final'!$N$32),"")</f>
        <v/>
      </c>
      <c r="AL21" s="119" t="str">
        <f>IF(AND('Mapa final'!$X$33="Alta",'Mapa final'!$Z$33="Catastrófico"),CONCATENATE("R6C",'Mapa final'!$N$33),"")</f>
        <v/>
      </c>
      <c r="AM21" s="120" t="str">
        <f>IF(AND('Mapa final'!$X$34="Alta",'Mapa final'!$Z$34="Catastrófico"),CONCATENATE("R6C",'Mapa final'!$N$34),"")</f>
        <v/>
      </c>
      <c r="AN21" s="50"/>
      <c r="AO21" s="348"/>
      <c r="AP21" s="349"/>
      <c r="AQ21" s="349"/>
      <c r="AR21" s="349"/>
      <c r="AS21" s="349"/>
      <c r="AT21" s="3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row>
    <row r="22" spans="1:76" ht="20.100000000000001" customHeight="1" x14ac:dyDescent="0.3">
      <c r="A22" s="50"/>
      <c r="B22" s="257"/>
      <c r="C22" s="257"/>
      <c r="D22" s="258"/>
      <c r="E22" s="358"/>
      <c r="F22" s="359"/>
      <c r="G22" s="359"/>
      <c r="H22" s="359"/>
      <c r="I22" s="357"/>
      <c r="J22" s="114" t="str">
        <f>IF(AND('Mapa final'!$X$35="Alta",'Mapa final'!$Z$35="Leve"),CONCATENATE("R7C",'Mapa final'!$N$35),"")</f>
        <v/>
      </c>
      <c r="K22" s="127" t="str">
        <f>IF(AND('Mapa final'!$X$36="Alta",'Mapa final'!$Z$36="Leve"),CONCATENATE("R7C",'Mapa final'!$N$36),"")</f>
        <v/>
      </c>
      <c r="L22" s="127" t="str">
        <f>IF(AND('Mapa final'!$X$37="Alta",'Mapa final'!$Z$37="Leve"),CONCATENATE("R7C",'Mapa final'!$N$37),"")</f>
        <v/>
      </c>
      <c r="M22" s="127" t="str">
        <f>IF(AND('Mapa final'!$X$38="Alta",'Mapa final'!$Z$38="Leve"),CONCATENATE("R7C",'Mapa final'!$N$38),"")</f>
        <v/>
      </c>
      <c r="N22" s="127" t="str">
        <f>IF(AND('Mapa final'!$X$39="Alta",'Mapa final'!$Z$39="Leve"),CONCATENATE("R7C",'Mapa final'!$N$39),"")</f>
        <v/>
      </c>
      <c r="O22" s="128" t="str">
        <f>IF(AND('Mapa final'!$X$40="Alta",'Mapa final'!$Z$40="Leve"),CONCATENATE("R7C",'Mapa final'!$N$40),"")</f>
        <v/>
      </c>
      <c r="P22" s="114" t="str">
        <f>IF(AND('Mapa final'!$X$35="Alta",'Mapa final'!$Z$35="Menor"),CONCATENATE("R7C",'Mapa final'!$N$35),"")</f>
        <v/>
      </c>
      <c r="Q22" s="127" t="str">
        <f>IF(AND('Mapa final'!$X$36="Alta",'Mapa final'!$Z$36="Menor"),CONCATENATE("R7C",'Mapa final'!$N$36),"")</f>
        <v/>
      </c>
      <c r="R22" s="127" t="str">
        <f>IF(AND('Mapa final'!$X$37="Alta",'Mapa final'!$Z$37="Menor"),CONCATENATE("R7C",'Mapa final'!$N$37),"")</f>
        <v/>
      </c>
      <c r="S22" s="127" t="str">
        <f>IF(AND('Mapa final'!$X$38="Alta",'Mapa final'!$Z$38="Menor"),CONCATENATE("R7C",'Mapa final'!$N$38),"")</f>
        <v/>
      </c>
      <c r="T22" s="127" t="str">
        <f>IF(AND('Mapa final'!$X$39="Alta",'Mapa final'!$Z$39="Menor"),CONCATENATE("R7C",'Mapa final'!$N$39),"")</f>
        <v/>
      </c>
      <c r="U22" s="128" t="str">
        <f>IF(AND('Mapa final'!$X$40="Alta",'Mapa final'!$Z$40="Menor"),CONCATENATE("R7C",'Mapa final'!$N$40),"")</f>
        <v/>
      </c>
      <c r="V22" s="107" t="str">
        <f>IF(AND('Mapa final'!$X$35="Alta",'Mapa final'!$Z$35="Moderado"),CONCATENATE("R7C",'Mapa final'!$N$35),"")</f>
        <v/>
      </c>
      <c r="W22" s="108" t="str">
        <f>IF(AND('Mapa final'!$X$36="Alta",'Mapa final'!$Z$36="Moderado"),CONCATENATE("R7C",'Mapa final'!$N$36),"")</f>
        <v/>
      </c>
      <c r="X22" s="110" t="str">
        <f>IF(AND('Mapa final'!$X$37="Alta",'Mapa final'!$Z$37="Moderado"),CONCATENATE("R7C",'Mapa final'!$N$37),"")</f>
        <v/>
      </c>
      <c r="Y22" s="110" t="str">
        <f>IF(AND('Mapa final'!$X$38="Alta",'Mapa final'!$Z$38="Moderado"),CONCATENATE("R7C",'Mapa final'!$N$38),"")</f>
        <v/>
      </c>
      <c r="Z22" s="110" t="str">
        <f>IF(AND('Mapa final'!$X$39="Alta",'Mapa final'!$Z$39="Moderado"),CONCATENATE("R7C",'Mapa final'!$N$39),"")</f>
        <v/>
      </c>
      <c r="AA22" s="109" t="str">
        <f>IF(AND('Mapa final'!$X$40="Alta",'Mapa final'!$Z$40="Moderado"),CONCATENATE("R7C",'Mapa final'!$N$40),"")</f>
        <v/>
      </c>
      <c r="AB22" s="107" t="str">
        <f>IF(AND('Mapa final'!$X$35="Alta",'Mapa final'!$Z$35="Mayor"),CONCATENATE("R7C",'Mapa final'!$N$35),"")</f>
        <v/>
      </c>
      <c r="AC22" s="108" t="str">
        <f>IF(AND('Mapa final'!$X$36="Alta",'Mapa final'!$Z$36="Mayor"),CONCATENATE("R7C",'Mapa final'!$N$36),"")</f>
        <v/>
      </c>
      <c r="AD22" s="110" t="str">
        <f>IF(AND('Mapa final'!$X$37="Alta",'Mapa final'!$Z$37="Mayor"),CONCATENATE("R7C",'Mapa final'!$N$37),"")</f>
        <v/>
      </c>
      <c r="AE22" s="110" t="str">
        <f>IF(AND('Mapa final'!$X$38="Alta",'Mapa final'!$Z$38="Mayor"),CONCATENATE("R7C",'Mapa final'!$N$38),"")</f>
        <v/>
      </c>
      <c r="AF22" s="110" t="str">
        <f>IF(AND('Mapa final'!$X$39="Alta",'Mapa final'!$Z$39="Mayor"),CONCATENATE("R7C",'Mapa final'!$N$39),"")</f>
        <v/>
      </c>
      <c r="AG22" s="109" t="str">
        <f>IF(AND('Mapa final'!$X$40="Alta",'Mapa final'!$Z$40="Mayor"),CONCATENATE("R7C",'Mapa final'!$N$40),"")</f>
        <v/>
      </c>
      <c r="AH22" s="118" t="str">
        <f>IF(AND('Mapa final'!$X$35="Alta",'Mapa final'!$Z$35="Catastrófico"),CONCATENATE("R7C",'Mapa final'!$N$35),"")</f>
        <v/>
      </c>
      <c r="AI22" s="119" t="str">
        <f>IF(AND('Mapa final'!$X$36="Alta",'Mapa final'!$Z$36="Catastrófico"),CONCATENATE("R7C",'Mapa final'!$N$36),"")</f>
        <v/>
      </c>
      <c r="AJ22" s="119" t="str">
        <f>IF(AND('Mapa final'!$X$37="Alta",'Mapa final'!$Z$37="Catastrófico"),CONCATENATE("R7C",'Mapa final'!$N$37),"")</f>
        <v/>
      </c>
      <c r="AK22" s="119" t="str">
        <f>IF(AND('Mapa final'!$X$38="Alta",'Mapa final'!$Z$38="Catastrófico"),CONCATENATE("R7C",'Mapa final'!$N$38),"")</f>
        <v/>
      </c>
      <c r="AL22" s="119" t="str">
        <f>IF(AND('Mapa final'!$X$39="Alta",'Mapa final'!$Z$39="Catastrófico"),CONCATENATE("R7C",'Mapa final'!$N$39),"")</f>
        <v/>
      </c>
      <c r="AM22" s="120" t="str">
        <f>IF(AND('Mapa final'!$X$40="Alta",'Mapa final'!$Z$40="Catastrófico"),CONCATENATE("R7C",'Mapa final'!$N$40),"")</f>
        <v/>
      </c>
      <c r="AN22" s="50"/>
      <c r="AO22" s="348"/>
      <c r="AP22" s="349"/>
      <c r="AQ22" s="349"/>
      <c r="AR22" s="349"/>
      <c r="AS22" s="349"/>
      <c r="AT22" s="3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row>
    <row r="23" spans="1:76" ht="20.100000000000001" customHeight="1" x14ac:dyDescent="0.3">
      <c r="A23" s="50"/>
      <c r="B23" s="257"/>
      <c r="C23" s="257"/>
      <c r="D23" s="258"/>
      <c r="E23" s="358"/>
      <c r="F23" s="359"/>
      <c r="G23" s="359"/>
      <c r="H23" s="359"/>
      <c r="I23" s="357"/>
      <c r="J23" s="114" t="str">
        <f>IF(AND('Mapa final'!$X$41="Alta",'Mapa final'!$Z$41="Leve"),CONCATENATE("R8C",'Mapa final'!$N$41),"")</f>
        <v/>
      </c>
      <c r="K23" s="127" t="str">
        <f>IF(AND('Mapa final'!$X$42="Alta",'Mapa final'!$Z$42="Leve"),CONCATENATE("R8C",'Mapa final'!$N$42),"")</f>
        <v/>
      </c>
      <c r="L23" s="127" t="str">
        <f>IF(AND('Mapa final'!$X$43="Alta",'Mapa final'!$Z$43="Leve"),CONCATENATE("R8C",'Mapa final'!$N$43),"")</f>
        <v/>
      </c>
      <c r="M23" s="127" t="str">
        <f>IF(AND('Mapa final'!$X$44="Alta",'Mapa final'!$Z$44="Leve"),CONCATENATE("R8C",'Mapa final'!$N$44),"")</f>
        <v/>
      </c>
      <c r="N23" s="127" t="str">
        <f>IF(AND('Mapa final'!$X$45="Alta",'Mapa final'!$Z$45="Leve"),CONCATENATE("R8C",'Mapa final'!$N$45),"")</f>
        <v/>
      </c>
      <c r="O23" s="128" t="str">
        <f>IF(AND('Mapa final'!$X$46="Alta",'Mapa final'!$Z$46="Leve"),CONCATENATE("R8C",'Mapa final'!$N$46),"")</f>
        <v/>
      </c>
      <c r="P23" s="114" t="str">
        <f>IF(AND('Mapa final'!$X$41="Alta",'Mapa final'!$Z$41="Menor"),CONCATENATE("R8C",'Mapa final'!$N$41),"")</f>
        <v/>
      </c>
      <c r="Q23" s="127" t="str">
        <f>IF(AND('Mapa final'!$X$42="Alta",'Mapa final'!$Z$42="Menor"),CONCATENATE("R8C",'Mapa final'!$N$42),"")</f>
        <v/>
      </c>
      <c r="R23" s="127" t="str">
        <f>IF(AND('Mapa final'!$X$43="Alta",'Mapa final'!$Z$43="Menor"),CONCATENATE("R8C",'Mapa final'!$N$43),"")</f>
        <v/>
      </c>
      <c r="S23" s="127" t="str">
        <f>IF(AND('Mapa final'!$X$44="Alta",'Mapa final'!$Z$44="Menor"),CONCATENATE("R8C",'Mapa final'!$N$44),"")</f>
        <v/>
      </c>
      <c r="T23" s="127" t="str">
        <f>IF(AND('Mapa final'!$X$45="Alta",'Mapa final'!$Z$45="Menor"),CONCATENATE("R8C",'Mapa final'!$N$45),"")</f>
        <v/>
      </c>
      <c r="U23" s="128" t="str">
        <f>IF(AND('Mapa final'!$X$46="Alta",'Mapa final'!$Z$46="Menor"),CONCATENATE("R8C",'Mapa final'!$N$46),"")</f>
        <v/>
      </c>
      <c r="V23" s="107" t="str">
        <f>IF(AND('Mapa final'!$X$41="Alta",'Mapa final'!$Z$41="Moderado"),CONCATENATE("R8C",'Mapa final'!$N$41),"")</f>
        <v/>
      </c>
      <c r="W23" s="108" t="str">
        <f>IF(AND('Mapa final'!$X$42="Alta",'Mapa final'!$Z$42="Moderado"),CONCATENATE("R8C",'Mapa final'!$N$42),"")</f>
        <v/>
      </c>
      <c r="X23" s="110" t="str">
        <f>IF(AND('Mapa final'!$X$43="Alta",'Mapa final'!$Z$43="Moderado"),CONCATENATE("R8C",'Mapa final'!$N$43),"")</f>
        <v/>
      </c>
      <c r="Y23" s="110" t="str">
        <f>IF(AND('Mapa final'!$X$44="Alta",'Mapa final'!$Z$44="Moderado"),CONCATENATE("R8C",'Mapa final'!$N$44),"")</f>
        <v/>
      </c>
      <c r="Z23" s="110" t="str">
        <f>IF(AND('Mapa final'!$X$45="Alta",'Mapa final'!$Z$45="Moderado"),CONCATENATE("R8C",'Mapa final'!$N$45),"")</f>
        <v/>
      </c>
      <c r="AA23" s="109" t="str">
        <f>IF(AND('Mapa final'!$X$46="Alta",'Mapa final'!$Z$46="Moderado"),CONCATENATE("R8C",'Mapa final'!$N$46),"")</f>
        <v/>
      </c>
      <c r="AB23" s="107" t="str">
        <f>IF(AND('Mapa final'!$X$41="Alta",'Mapa final'!$Z$41="Mayor"),CONCATENATE("R8C",'Mapa final'!$N$41),"")</f>
        <v/>
      </c>
      <c r="AC23" s="108" t="str">
        <f>IF(AND('Mapa final'!$X$42="Alta",'Mapa final'!$Z$42="Mayor"),CONCATENATE("R8C",'Mapa final'!$N$42),"")</f>
        <v/>
      </c>
      <c r="AD23" s="110" t="str">
        <f>IF(AND('Mapa final'!$X$43="Alta",'Mapa final'!$Z$43="Mayor"),CONCATENATE("R8C",'Mapa final'!$N$43),"")</f>
        <v/>
      </c>
      <c r="AE23" s="110" t="str">
        <f>IF(AND('Mapa final'!$X$44="Alta",'Mapa final'!$Z$44="Mayor"),CONCATENATE("R8C",'Mapa final'!$N$44),"")</f>
        <v/>
      </c>
      <c r="AF23" s="110" t="str">
        <f>IF(AND('Mapa final'!$X$45="Alta",'Mapa final'!$Z$45="Mayor"),CONCATENATE("R8C",'Mapa final'!$N$45),"")</f>
        <v/>
      </c>
      <c r="AG23" s="109" t="str">
        <f>IF(AND('Mapa final'!$X$46="Alta",'Mapa final'!$Z$46="Mayor"),CONCATENATE("R8C",'Mapa final'!$N$46),"")</f>
        <v/>
      </c>
      <c r="AH23" s="118" t="str">
        <f>IF(AND('Mapa final'!$X$41="Alta",'Mapa final'!$Z$41="Catastrófico"),CONCATENATE("R8C",'Mapa final'!$N$41),"")</f>
        <v/>
      </c>
      <c r="AI23" s="119" t="str">
        <f>IF(AND('Mapa final'!$X$42="Alta",'Mapa final'!$Z$42="Catastrófico"),CONCATENATE("R8C",'Mapa final'!$N$42),"")</f>
        <v/>
      </c>
      <c r="AJ23" s="119" t="str">
        <f>IF(AND('Mapa final'!$X$43="Alta",'Mapa final'!$Z$43="Catastrófico"),CONCATENATE("R8C",'Mapa final'!$N$43),"")</f>
        <v/>
      </c>
      <c r="AK23" s="119" t="str">
        <f>IF(AND('Mapa final'!$X$44="Alta",'Mapa final'!$Z$44="Catastrófico"),CONCATENATE("R8C",'Mapa final'!$N$44),"")</f>
        <v/>
      </c>
      <c r="AL23" s="119" t="str">
        <f>IF(AND('Mapa final'!$X$45="Alta",'Mapa final'!$Z$45="Catastrófico"),CONCATENATE("R8C",'Mapa final'!$N$45),"")</f>
        <v/>
      </c>
      <c r="AM23" s="120" t="str">
        <f>IF(AND('Mapa final'!$X$46="Alta",'Mapa final'!$Z$46="Catastrófico"),CONCATENATE("R8C",'Mapa final'!$N$46),"")</f>
        <v/>
      </c>
      <c r="AN23" s="50"/>
      <c r="AO23" s="348"/>
      <c r="AP23" s="349"/>
      <c r="AQ23" s="349"/>
      <c r="AR23" s="349"/>
      <c r="AS23" s="349"/>
      <c r="AT23" s="3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row>
    <row r="24" spans="1:76" ht="20.100000000000001" customHeight="1" x14ac:dyDescent="0.3">
      <c r="A24" s="50"/>
      <c r="B24" s="257"/>
      <c r="C24" s="257"/>
      <c r="D24" s="258"/>
      <c r="E24" s="358"/>
      <c r="F24" s="359"/>
      <c r="G24" s="359"/>
      <c r="H24" s="359"/>
      <c r="I24" s="357"/>
      <c r="J24" s="114" t="str">
        <f>IF(AND('Mapa final'!$X$47="Alta",'Mapa final'!$Z$47="Leve"),CONCATENATE("R9C",'Mapa final'!$N$47),"")</f>
        <v/>
      </c>
      <c r="K24" s="127" t="str">
        <f>IF(AND('Mapa final'!$X$48="Alta",'Mapa final'!$Z$48="Leve"),CONCATENATE("R9C",'Mapa final'!$N$48),"")</f>
        <v/>
      </c>
      <c r="L24" s="127" t="str">
        <f>IF(AND('Mapa final'!$X$49="Alta",'Mapa final'!$Z$49="Leve"),CONCATENATE("R9C",'Mapa final'!$N$49),"")</f>
        <v/>
      </c>
      <c r="M24" s="127" t="str">
        <f>IF(AND('Mapa final'!$X$50="Alta",'Mapa final'!$Z$50="Leve"),CONCATENATE("R9C",'Mapa final'!$N$50),"")</f>
        <v/>
      </c>
      <c r="N24" s="127" t="str">
        <f>IF(AND('Mapa final'!$X$51="Alta",'Mapa final'!$Z$51="Leve"),CONCATENATE("R9C",'Mapa final'!$N$51),"")</f>
        <v/>
      </c>
      <c r="O24" s="128" t="str">
        <f>IF(AND('Mapa final'!$X$52="Alta",'Mapa final'!$Z$52="Leve"),CONCATENATE("R9C",'Mapa final'!$N$52),"")</f>
        <v/>
      </c>
      <c r="P24" s="114" t="str">
        <f>IF(AND('Mapa final'!$X$47="Alta",'Mapa final'!$Z$47="Menor"),CONCATENATE("R9C",'Mapa final'!$N$47),"")</f>
        <v/>
      </c>
      <c r="Q24" s="127" t="str">
        <f>IF(AND('Mapa final'!$X$48="Alta",'Mapa final'!$Z$48="Menor"),CONCATENATE("R9C",'Mapa final'!$N$48),"")</f>
        <v/>
      </c>
      <c r="R24" s="127" t="str">
        <f>IF(AND('Mapa final'!$X$49="Alta",'Mapa final'!$Z$49="Menor"),CONCATENATE("R9C",'Mapa final'!$N$49),"")</f>
        <v/>
      </c>
      <c r="S24" s="127" t="str">
        <f>IF(AND('Mapa final'!$X$50="Alta",'Mapa final'!$Z$50="Menor"),CONCATENATE("R9C",'Mapa final'!$N$50),"")</f>
        <v/>
      </c>
      <c r="T24" s="127" t="str">
        <f>IF(AND('Mapa final'!$X$51="Alta",'Mapa final'!$Z$51="Menor"),CONCATENATE("R9C",'Mapa final'!$N$51),"")</f>
        <v/>
      </c>
      <c r="U24" s="128" t="str">
        <f>IF(AND('Mapa final'!$X$52="Alta",'Mapa final'!$Z$52="Menor"),CONCATENATE("R9C",'Mapa final'!$N$52),"")</f>
        <v/>
      </c>
      <c r="V24" s="107" t="str">
        <f>IF(AND('Mapa final'!$X$47="Alta",'Mapa final'!$Z$47="Moderado"),CONCATENATE("R9C",'Mapa final'!$N$47),"")</f>
        <v/>
      </c>
      <c r="W24" s="108" t="str">
        <f>IF(AND('Mapa final'!$X$48="Alta",'Mapa final'!$Z$48="Moderado"),CONCATENATE("R9C",'Mapa final'!$N$48),"")</f>
        <v/>
      </c>
      <c r="X24" s="110" t="str">
        <f>IF(AND('Mapa final'!$X$49="Alta",'Mapa final'!$Z$49="Moderado"),CONCATENATE("R9C",'Mapa final'!$N$49),"")</f>
        <v/>
      </c>
      <c r="Y24" s="110" t="str">
        <f>IF(AND('Mapa final'!$X$50="Alta",'Mapa final'!$Z$50="Moderado"),CONCATENATE("R9C",'Mapa final'!$N$50),"")</f>
        <v/>
      </c>
      <c r="Z24" s="110" t="str">
        <f>IF(AND('Mapa final'!$X$51="Alta",'Mapa final'!$Z$51="Moderado"),CONCATENATE("R9C",'Mapa final'!$N$51),"")</f>
        <v/>
      </c>
      <c r="AA24" s="109" t="str">
        <f>IF(AND('Mapa final'!$X$52="Alta",'Mapa final'!$Z$52="Moderado"),CONCATENATE("R9C",'Mapa final'!$N$52),"")</f>
        <v/>
      </c>
      <c r="AB24" s="107" t="str">
        <f>IF(AND('Mapa final'!$X$47="Alta",'Mapa final'!$Z$47="Mayor"),CONCATENATE("R9C",'Mapa final'!$N$47),"")</f>
        <v/>
      </c>
      <c r="AC24" s="108" t="str">
        <f>IF(AND('Mapa final'!$X$48="Alta",'Mapa final'!$Z$48="Mayor"),CONCATENATE("R9C",'Mapa final'!$N$48),"")</f>
        <v/>
      </c>
      <c r="AD24" s="110" t="str">
        <f>IF(AND('Mapa final'!$X$49="Alta",'Mapa final'!$Z$49="Mayor"),CONCATENATE("R9C",'Mapa final'!$N$49),"")</f>
        <v/>
      </c>
      <c r="AE24" s="110" t="str">
        <f>IF(AND('Mapa final'!$X$50="Alta",'Mapa final'!$Z$50="Mayor"),CONCATENATE("R9C",'Mapa final'!$N$50),"")</f>
        <v/>
      </c>
      <c r="AF24" s="110" t="str">
        <f>IF(AND('Mapa final'!$X$51="Alta",'Mapa final'!$Z$51="Mayor"),CONCATENATE("R9C",'Mapa final'!$N$51),"")</f>
        <v/>
      </c>
      <c r="AG24" s="109" t="str">
        <f>IF(AND('Mapa final'!$X$52="Alta",'Mapa final'!$Z$52="Mayor"),CONCATENATE("R9C",'Mapa final'!$N$52),"")</f>
        <v/>
      </c>
      <c r="AH24" s="118" t="str">
        <f>IF(AND('Mapa final'!$X$47="Alta",'Mapa final'!$Z$47="Catastrófico"),CONCATENATE("R9C",'Mapa final'!$N$47),"")</f>
        <v/>
      </c>
      <c r="AI24" s="119" t="str">
        <f>IF(AND('Mapa final'!$X$48="Alta",'Mapa final'!$Z$48="Catastrófico"),CONCATENATE("R9C",'Mapa final'!$N$48),"")</f>
        <v/>
      </c>
      <c r="AJ24" s="119" t="str">
        <f>IF(AND('Mapa final'!$X$49="Alta",'Mapa final'!$Z$49="Catastrófico"),CONCATENATE("R9C",'Mapa final'!$N$49),"")</f>
        <v/>
      </c>
      <c r="AK24" s="119" t="str">
        <f>IF(AND('Mapa final'!$X$50="Alta",'Mapa final'!$Z$50="Catastrófico"),CONCATENATE("R9C",'Mapa final'!$N$50),"")</f>
        <v/>
      </c>
      <c r="AL24" s="119" t="str">
        <f>IF(AND('Mapa final'!$X$51="Alta",'Mapa final'!$Z$51="Catastrófico"),CONCATENATE("R9C",'Mapa final'!$N$51),"")</f>
        <v/>
      </c>
      <c r="AM24" s="120" t="str">
        <f>IF(AND('Mapa final'!$X$52="Alta",'Mapa final'!$Z$52="Catastrófico"),CONCATENATE("R9C",'Mapa final'!$N$52),"")</f>
        <v/>
      </c>
      <c r="AN24" s="50"/>
      <c r="AO24" s="348"/>
      <c r="AP24" s="349"/>
      <c r="AQ24" s="349"/>
      <c r="AR24" s="349"/>
      <c r="AS24" s="349"/>
      <c r="AT24" s="3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row>
    <row r="25" spans="1:76" ht="20.100000000000001" customHeight="1" thickBot="1" x14ac:dyDescent="0.35">
      <c r="A25" s="50"/>
      <c r="B25" s="257"/>
      <c r="C25" s="257"/>
      <c r="D25" s="258"/>
      <c r="E25" s="360"/>
      <c r="F25" s="361"/>
      <c r="G25" s="361"/>
      <c r="H25" s="361"/>
      <c r="I25" s="361"/>
      <c r="J25" s="129" t="str">
        <f>IF(AND('Mapa final'!$X$53="Alta",'Mapa final'!$Z$53="Leve"),CONCATENATE("R10C",'Mapa final'!$N$53),"")</f>
        <v/>
      </c>
      <c r="K25" s="130" t="str">
        <f>IF(AND('Mapa final'!$X$54="Alta",'Mapa final'!$Z$54="Leve"),CONCATENATE("R10C",'Mapa final'!$N$54),"")</f>
        <v/>
      </c>
      <c r="L25" s="130" t="str">
        <f>IF(AND('Mapa final'!$X$55="Alta",'Mapa final'!$Z$55="Leve"),CONCATENATE("R10C",'Mapa final'!$N$55),"")</f>
        <v/>
      </c>
      <c r="M25" s="130" t="str">
        <f>IF(AND('Mapa final'!$X$56="Alta",'Mapa final'!$Z$56="Leve"),CONCATENATE("R10C",'Mapa final'!$N$56),"")</f>
        <v/>
      </c>
      <c r="N25" s="130" t="str">
        <f>IF(AND('Mapa final'!$X$57="Alta",'Mapa final'!$Z$57="Leve"),CONCATENATE("R10C",'Mapa final'!$N$57),"")</f>
        <v/>
      </c>
      <c r="O25" s="131" t="str">
        <f>IF(AND('Mapa final'!$X$58="Alta",'Mapa final'!$Z$58="Leve"),CONCATENATE("R10C",'Mapa final'!$N$58),"")</f>
        <v/>
      </c>
      <c r="P25" s="129" t="str">
        <f>IF(AND('Mapa final'!$X$53="Alta",'Mapa final'!$Z$53="Menor"),CONCATENATE("R10C",'Mapa final'!$N$53),"")</f>
        <v/>
      </c>
      <c r="Q25" s="130" t="str">
        <f>IF(AND('Mapa final'!$X$54="Alta",'Mapa final'!$Z$54="Menor"),CONCATENATE("R10C",'Mapa final'!$N$54),"")</f>
        <v/>
      </c>
      <c r="R25" s="130" t="str">
        <f>IF(AND('Mapa final'!$X$55="Alta",'Mapa final'!$Z$55="Menor"),CONCATENATE("R10C",'Mapa final'!$N$55),"")</f>
        <v/>
      </c>
      <c r="S25" s="130" t="str">
        <f>IF(AND('Mapa final'!$X$56="Alta",'Mapa final'!$Z$56="Menor"),CONCATENATE("R10C",'Mapa final'!$N$56),"")</f>
        <v/>
      </c>
      <c r="T25" s="130" t="str">
        <f>IF(AND('Mapa final'!$X$57="Alta",'Mapa final'!$Z$57="Menor"),CONCATENATE("R10C",'Mapa final'!$N$57),"")</f>
        <v/>
      </c>
      <c r="U25" s="131" t="str">
        <f>IF(AND('Mapa final'!$X$58="Alta",'Mapa final'!$Z$58="Menor"),CONCATENATE("R10C",'Mapa final'!$N$58),"")</f>
        <v/>
      </c>
      <c r="V25" s="111" t="str">
        <f>IF(AND('Mapa final'!$X$53="Alta",'Mapa final'!$Z$53="Moderado"),CONCATENATE("R10C",'Mapa final'!$N$53),"")</f>
        <v/>
      </c>
      <c r="W25" s="112" t="str">
        <f>IF(AND('Mapa final'!$X$54="Alta",'Mapa final'!$Z$54="Moderado"),CONCATENATE("R10C",'Mapa final'!$N$54),"")</f>
        <v/>
      </c>
      <c r="X25" s="112" t="str">
        <f>IF(AND('Mapa final'!$X$55="Alta",'Mapa final'!$Z$55="Moderado"),CONCATENATE("R10C",'Mapa final'!$N$55),"")</f>
        <v/>
      </c>
      <c r="Y25" s="112" t="str">
        <f>IF(AND('Mapa final'!$X$56="Alta",'Mapa final'!$Z$56="Moderado"),CONCATENATE("R10C",'Mapa final'!$N$56),"")</f>
        <v/>
      </c>
      <c r="Z25" s="112" t="str">
        <f>IF(AND('Mapa final'!$X$57="Alta",'Mapa final'!$Z$57="Moderado"),CONCATENATE("R10C",'Mapa final'!$N$57),"")</f>
        <v/>
      </c>
      <c r="AA25" s="113" t="str">
        <f>IF(AND('Mapa final'!$X$58="Alta",'Mapa final'!$Z$58="Moderado"),CONCATENATE("R10C",'Mapa final'!$N$58),"")</f>
        <v/>
      </c>
      <c r="AB25" s="111" t="str">
        <f>IF(AND('Mapa final'!$X$53="Alta",'Mapa final'!$Z$53="Mayor"),CONCATENATE("R10C",'Mapa final'!$N$53),"")</f>
        <v/>
      </c>
      <c r="AC25" s="112" t="str">
        <f>IF(AND('Mapa final'!$X$54="Alta",'Mapa final'!$Z$54="Mayor"),CONCATENATE("R10C",'Mapa final'!$N$54),"")</f>
        <v/>
      </c>
      <c r="AD25" s="112" t="str">
        <f>IF(AND('Mapa final'!$X$55="Alta",'Mapa final'!$Z$55="Mayor"),CONCATENATE("R10C",'Mapa final'!$N$55),"")</f>
        <v/>
      </c>
      <c r="AE25" s="112" t="str">
        <f>IF(AND('Mapa final'!$X$56="Alta",'Mapa final'!$Z$56="Mayor"),CONCATENATE("R10C",'Mapa final'!$N$56),"")</f>
        <v/>
      </c>
      <c r="AF25" s="112" t="str">
        <f>IF(AND('Mapa final'!$X$57="Alta",'Mapa final'!$Z$57="Mayor"),CONCATENATE("R10C",'Mapa final'!$N$57),"")</f>
        <v/>
      </c>
      <c r="AG25" s="113" t="str">
        <f>IF(AND('Mapa final'!$X$58="Alta",'Mapa final'!$Z$58="Mayor"),CONCATENATE("R10C",'Mapa final'!$N$58),"")</f>
        <v/>
      </c>
      <c r="AH25" s="121" t="str">
        <f>IF(AND('Mapa final'!$X$53="Alta",'Mapa final'!$Z$53="Catastrófico"),CONCATENATE("R10C",'Mapa final'!$N$53),"")</f>
        <v/>
      </c>
      <c r="AI25" s="122" t="str">
        <f>IF(AND('Mapa final'!$X$54="Alta",'Mapa final'!$Z$54="Catastrófico"),CONCATENATE("R10C",'Mapa final'!$N$54),"")</f>
        <v/>
      </c>
      <c r="AJ25" s="122" t="str">
        <f>IF(AND('Mapa final'!$X$55="Alta",'Mapa final'!$Z$55="Catastrófico"),CONCATENATE("R10C",'Mapa final'!$N$55),"")</f>
        <v/>
      </c>
      <c r="AK25" s="122" t="str">
        <f>IF(AND('Mapa final'!$X$56="Alta",'Mapa final'!$Z$56="Catastrófico"),CONCATENATE("R10C",'Mapa final'!$N$56),"")</f>
        <v/>
      </c>
      <c r="AL25" s="122" t="str">
        <f>IF(AND('Mapa final'!$X$57="Alta",'Mapa final'!$Z$57="Catastrófico"),CONCATENATE("R10C",'Mapa final'!$N$57),"")</f>
        <v/>
      </c>
      <c r="AM25" s="123" t="str">
        <f>IF(AND('Mapa final'!$X$58="Alta",'Mapa final'!$Z$58="Catastrófico"),CONCATENATE("R10C",'Mapa final'!$N$58),"")</f>
        <v/>
      </c>
      <c r="AN25" s="50"/>
      <c r="AO25" s="351"/>
      <c r="AP25" s="352"/>
      <c r="AQ25" s="352"/>
      <c r="AR25" s="352"/>
      <c r="AS25" s="352"/>
      <c r="AT25" s="353"/>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row>
    <row r="26" spans="1:76" ht="20.100000000000001" customHeight="1" x14ac:dyDescent="0.3">
      <c r="A26" s="50"/>
      <c r="B26" s="257"/>
      <c r="C26" s="257"/>
      <c r="D26" s="258"/>
      <c r="E26" s="354" t="s">
        <v>115</v>
      </c>
      <c r="F26" s="355"/>
      <c r="G26" s="355"/>
      <c r="H26" s="355"/>
      <c r="I26" s="372"/>
      <c r="J26" s="124" t="str">
        <f>IF(AND('Mapa final'!$X$11="Media",'Mapa final'!$Z$11="Leve"),CONCATENATE("R1C",'Mapa final'!$N$11),"")</f>
        <v/>
      </c>
      <c r="K26" s="125" t="str">
        <f>IF(AND('Mapa final'!$X$12="Media",'Mapa final'!$Z$12="Leve"),CONCATENATE("R1C",'Mapa final'!$N$12),"")</f>
        <v/>
      </c>
      <c r="L26" s="125" t="str">
        <f>IF(AND('Mapa final'!$X$13="Media",'Mapa final'!$Z$13="Leve"),CONCATENATE("R1C",'Mapa final'!$N$13),"")</f>
        <v/>
      </c>
      <c r="M26" s="125" t="str">
        <f>IF(AND('Mapa final'!$X$14="Media",'Mapa final'!$Z$14="Leve"),CONCATENATE("R1C",'Mapa final'!$N$14),"")</f>
        <v/>
      </c>
      <c r="N26" s="125" t="str">
        <f>IF(AND('Mapa final'!$X$15="Media",'Mapa final'!$Z$15="Leve"),CONCATENATE("R1C",'Mapa final'!$N$15),"")</f>
        <v/>
      </c>
      <c r="O26" s="126" t="str">
        <f>IF(AND('Mapa final'!$X$16="Media",'Mapa final'!$Z$16="Leve"),CONCATENATE("R1C",'Mapa final'!$N$16),"")</f>
        <v/>
      </c>
      <c r="P26" s="124" t="str">
        <f>IF(AND('Mapa final'!$X$11="Media",'Mapa final'!$Z$11="Menor"),CONCATENATE("R1C",'Mapa final'!$N$11),"")</f>
        <v/>
      </c>
      <c r="Q26" s="125" t="str">
        <f>IF(AND('Mapa final'!$X$12="Media",'Mapa final'!$Z$12="Menor"),CONCATENATE("R1C",'Mapa final'!$N$12),"")</f>
        <v/>
      </c>
      <c r="R26" s="125" t="str">
        <f>IF(AND('Mapa final'!$X$13="Media",'Mapa final'!$Z$13="Menor"),CONCATENATE("R1C",'Mapa final'!$N$13),"")</f>
        <v/>
      </c>
      <c r="S26" s="125" t="str">
        <f>IF(AND('Mapa final'!$X$14="Media",'Mapa final'!$Z$14="Menor"),CONCATENATE("R1C",'Mapa final'!$N$14),"")</f>
        <v/>
      </c>
      <c r="T26" s="125" t="str">
        <f>IF(AND('Mapa final'!$X$15="Media",'Mapa final'!$Z$15="Menor"),CONCATENATE("R1C",'Mapa final'!$N$15),"")</f>
        <v/>
      </c>
      <c r="U26" s="126" t="str">
        <f>IF(AND('Mapa final'!$X$16="Media",'Mapa final'!$Z$16="Menor"),CONCATENATE("R1C",'Mapa final'!$N$16),"")</f>
        <v/>
      </c>
      <c r="V26" s="124" t="str">
        <f>IF(AND('Mapa final'!$X$11="Media",'Mapa final'!$Z$11="Moderado"),CONCATENATE("R1C",'Mapa final'!$N$11),"")</f>
        <v/>
      </c>
      <c r="W26" s="125" t="str">
        <f>IF(AND('Mapa final'!$X$12="Media",'Mapa final'!$Z$12="Moderado"),CONCATENATE("R1C",'Mapa final'!$N$12),"")</f>
        <v/>
      </c>
      <c r="X26" s="125" t="str">
        <f>IF(AND('Mapa final'!$X$13="Media",'Mapa final'!$Z$13="Moderado"),CONCATENATE("R1C",'Mapa final'!$N$13),"")</f>
        <v/>
      </c>
      <c r="Y26" s="125" t="str">
        <f>IF(AND('Mapa final'!$X$14="Media",'Mapa final'!$Z$14="Moderado"),CONCATENATE("R1C",'Mapa final'!$N$14),"")</f>
        <v/>
      </c>
      <c r="Z26" s="125" t="str">
        <f>IF(AND('Mapa final'!$X$15="Media",'Mapa final'!$Z$15="Moderado"),CONCATENATE("R1C",'Mapa final'!$N$15),"")</f>
        <v/>
      </c>
      <c r="AA26" s="126" t="str">
        <f>IF(AND('Mapa final'!$X$16="Media",'Mapa final'!$Z$16="Moderado"),CONCATENATE("R1C",'Mapa final'!$N$16),"")</f>
        <v/>
      </c>
      <c r="AB26" s="104" t="str">
        <f>IF(AND('Mapa final'!$X$11="Media",'Mapa final'!$Z$11="Mayor"),CONCATENATE("R1C",'Mapa final'!$N$11),"")</f>
        <v/>
      </c>
      <c r="AC26" s="105" t="str">
        <f>IF(AND('Mapa final'!$X$12="Media",'Mapa final'!$Z$12="Mayor"),CONCATENATE("R1C",'Mapa final'!$N$12),"")</f>
        <v/>
      </c>
      <c r="AD26" s="105" t="str">
        <f>IF(AND('Mapa final'!$X$13="Media",'Mapa final'!$Z$13="Mayor"),CONCATENATE("R1C",'Mapa final'!$N$13),"")</f>
        <v/>
      </c>
      <c r="AE26" s="105" t="str">
        <f>IF(AND('Mapa final'!$X$14="Media",'Mapa final'!$Z$14="Mayor"),CONCATENATE("R1C",'Mapa final'!$N$14),"")</f>
        <v/>
      </c>
      <c r="AF26" s="105" t="str">
        <f>IF(AND('Mapa final'!$X$15="Media",'Mapa final'!$Z$15="Mayor"),CONCATENATE("R1C",'Mapa final'!$N$15),"")</f>
        <v/>
      </c>
      <c r="AG26" s="106" t="str">
        <f>IF(AND('Mapa final'!$X$16="Media",'Mapa final'!$Z$16="Mayor"),CONCATENATE("R1C",'Mapa final'!$N$16),"")</f>
        <v/>
      </c>
      <c r="AH26" s="115" t="str">
        <f>IF(AND('Mapa final'!$X$11="Media",'Mapa final'!$Z$11="Catastrófico"),CONCATENATE("R1C",'Mapa final'!$N$11),"")</f>
        <v/>
      </c>
      <c r="AI26" s="116" t="str">
        <f>IF(AND('Mapa final'!$X$12="Media",'Mapa final'!$Z$12="Catastrófico"),CONCATENATE("R1C",'Mapa final'!$N$12),"")</f>
        <v/>
      </c>
      <c r="AJ26" s="116" t="str">
        <f>IF(AND('Mapa final'!$X$13="Media",'Mapa final'!$Z$13="Catastrófico"),CONCATENATE("R1C",'Mapa final'!$N$13),"")</f>
        <v/>
      </c>
      <c r="AK26" s="116" t="str">
        <f>IF(AND('Mapa final'!$X$14="Media",'Mapa final'!$Z$14="Catastrófico"),CONCATENATE("R1C",'Mapa final'!$N$14),"")</f>
        <v/>
      </c>
      <c r="AL26" s="116" t="str">
        <f>IF(AND('Mapa final'!$X$15="Media",'Mapa final'!$Z$15="Catastrófico"),CONCATENATE("R1C",'Mapa final'!$N$15),"")</f>
        <v/>
      </c>
      <c r="AM26" s="117" t="str">
        <f>IF(AND('Mapa final'!$X$16="Media",'Mapa final'!$Z$16="Catastrófico"),CONCATENATE("R1C",'Mapa final'!$N$16),"")</f>
        <v/>
      </c>
      <c r="AN26" s="50"/>
      <c r="AO26" s="384" t="s">
        <v>80</v>
      </c>
      <c r="AP26" s="385"/>
      <c r="AQ26" s="385"/>
      <c r="AR26" s="385"/>
      <c r="AS26" s="385"/>
      <c r="AT26" s="386"/>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row>
    <row r="27" spans="1:76" ht="20.100000000000001" customHeight="1" x14ac:dyDescent="0.3">
      <c r="A27" s="50"/>
      <c r="B27" s="257"/>
      <c r="C27" s="257"/>
      <c r="D27" s="258"/>
      <c r="E27" s="356"/>
      <c r="F27" s="357"/>
      <c r="G27" s="357"/>
      <c r="H27" s="357"/>
      <c r="I27" s="373"/>
      <c r="J27" s="114" t="str">
        <f>IF(AND('Mapa final'!$X$17="Media",'Mapa final'!$Z$17="Leve"),CONCATENATE("R2C",'Mapa final'!$N$17),"")</f>
        <v/>
      </c>
      <c r="K27" s="127" t="str">
        <f>IF(AND('Mapa final'!$X$18="Media",'Mapa final'!$Z$18="Leve"),CONCATENATE("R2C",'Mapa final'!$N$18),"")</f>
        <v/>
      </c>
      <c r="L27" s="127" t="str">
        <f>IF(AND('Mapa final'!$X$19="Media",'Mapa final'!$Z$19="Leve"),CONCATENATE("R2C",'Mapa final'!$N$19),"")</f>
        <v/>
      </c>
      <c r="M27" s="127" t="str">
        <f>IF(AND('Mapa final'!$X$20="Media",'Mapa final'!$Z$20="Leve"),CONCATENATE("R2C",'Mapa final'!$N$20),"")</f>
        <v/>
      </c>
      <c r="N27" s="127" t="str">
        <f>IF(AND('Mapa final'!$X$21="Media",'Mapa final'!$Z$21="Leve"),CONCATENATE("R2C",'Mapa final'!$N$21),"")</f>
        <v/>
      </c>
      <c r="O27" s="128" t="str">
        <f>IF(AND('Mapa final'!$X$22="Media",'Mapa final'!$Z$22="Leve"),CONCATENATE("R2C",'Mapa final'!$N$22),"")</f>
        <v/>
      </c>
      <c r="P27" s="114" t="str">
        <f>IF(AND('Mapa final'!$X$17="Media",'Mapa final'!$Z$17="Menor"),CONCATENATE("R2C",'Mapa final'!$N$17),"")</f>
        <v/>
      </c>
      <c r="Q27" s="127" t="str">
        <f>IF(AND('Mapa final'!$X$18="Media",'Mapa final'!$Z$18="Menor"),CONCATENATE("R2C",'Mapa final'!$N$18),"")</f>
        <v/>
      </c>
      <c r="R27" s="127" t="str">
        <f>IF(AND('Mapa final'!$X$19="Media",'Mapa final'!$Z$19="Menor"),CONCATENATE("R2C",'Mapa final'!$N$19),"")</f>
        <v/>
      </c>
      <c r="S27" s="127" t="str">
        <f>IF(AND('Mapa final'!$X$20="Media",'Mapa final'!$Z$20="Menor"),CONCATENATE("R2C",'Mapa final'!$N$20),"")</f>
        <v/>
      </c>
      <c r="T27" s="127" t="str">
        <f>IF(AND('Mapa final'!$X$21="Media",'Mapa final'!$Z$21="Menor"),CONCATENATE("R2C",'Mapa final'!$N$21),"")</f>
        <v/>
      </c>
      <c r="U27" s="128" t="str">
        <f>IF(AND('Mapa final'!$X$22="Media",'Mapa final'!$Z$22="Menor"),CONCATENATE("R2C",'Mapa final'!$N$22),"")</f>
        <v/>
      </c>
      <c r="V27" s="114" t="str">
        <f>IF(AND('Mapa final'!$X$17="Media",'Mapa final'!$Z$17="Moderado"),CONCATENATE("R2C",'Mapa final'!$N$17),"")</f>
        <v/>
      </c>
      <c r="W27" s="127" t="str">
        <f>IF(AND('Mapa final'!$X$18="Media",'Mapa final'!$Z$18="Moderado"),CONCATENATE("R2C",'Mapa final'!$N$18),"")</f>
        <v/>
      </c>
      <c r="X27" s="127" t="str">
        <f>IF(AND('Mapa final'!$X$19="Media",'Mapa final'!$Z$19="Moderado"),CONCATENATE("R2C",'Mapa final'!$N$19),"")</f>
        <v/>
      </c>
      <c r="Y27" s="127" t="str">
        <f>IF(AND('Mapa final'!$X$20="Media",'Mapa final'!$Z$20="Moderado"),CONCATENATE("R2C",'Mapa final'!$N$20),"")</f>
        <v/>
      </c>
      <c r="Z27" s="127" t="str">
        <f>IF(AND('Mapa final'!$X$21="Media",'Mapa final'!$Z$21="Moderado"),CONCATENATE("R2C",'Mapa final'!$N$21),"")</f>
        <v/>
      </c>
      <c r="AA27" s="128" t="str">
        <f>IF(AND('Mapa final'!$X$22="Media",'Mapa final'!$Z$22="Moderado"),CONCATENATE("R2C",'Mapa final'!$N$22),"")</f>
        <v/>
      </c>
      <c r="AB27" s="107" t="str">
        <f>IF(AND('Mapa final'!$X$17="Media",'Mapa final'!$Z$17="Mayor"),CONCATENATE("R2C",'Mapa final'!$N$17),"")</f>
        <v/>
      </c>
      <c r="AC27" s="108" t="str">
        <f>IF(AND('Mapa final'!$X$18="Media",'Mapa final'!$Z$18="Mayor"),CONCATENATE("R2C",'Mapa final'!$N$18),"")</f>
        <v/>
      </c>
      <c r="AD27" s="108" t="str">
        <f>IF(AND('Mapa final'!$X$19="Media",'Mapa final'!$Z$19="Mayor"),CONCATENATE("R2C",'Mapa final'!$N$19),"")</f>
        <v/>
      </c>
      <c r="AE27" s="108" t="str">
        <f>IF(AND('Mapa final'!$X$20="Media",'Mapa final'!$Z$20="Mayor"),CONCATENATE("R2C",'Mapa final'!$N$20),"")</f>
        <v/>
      </c>
      <c r="AF27" s="108" t="str">
        <f>IF(AND('Mapa final'!$X$21="Media",'Mapa final'!$Z$21="Mayor"),CONCATENATE("R2C",'Mapa final'!$N$21),"")</f>
        <v/>
      </c>
      <c r="AG27" s="109" t="str">
        <f>IF(AND('Mapa final'!$X$22="Media",'Mapa final'!$Z$22="Mayor"),CONCATENATE("R2C",'Mapa final'!$N$22),"")</f>
        <v/>
      </c>
      <c r="AH27" s="118" t="str">
        <f>IF(AND('Mapa final'!$X$17="Media",'Mapa final'!$Z$17="Catastrófico"),CONCATENATE("R2C",'Mapa final'!$N$17),"")</f>
        <v/>
      </c>
      <c r="AI27" s="119" t="str">
        <f>IF(AND('Mapa final'!$X$18="Media",'Mapa final'!$Z$18="Catastrófico"),CONCATENATE("R2C",'Mapa final'!$N$18),"")</f>
        <v/>
      </c>
      <c r="AJ27" s="119" t="str">
        <f>IF(AND('Mapa final'!$X$19="Media",'Mapa final'!$Z$19="Catastrófico"),CONCATENATE("R2C",'Mapa final'!$N$19),"")</f>
        <v/>
      </c>
      <c r="AK27" s="119" t="str">
        <f>IF(AND('Mapa final'!$X$20="Media",'Mapa final'!$Z$20="Catastrófico"),CONCATENATE("R2C",'Mapa final'!$N$20),"")</f>
        <v/>
      </c>
      <c r="AL27" s="119" t="str">
        <f>IF(AND('Mapa final'!$X$21="Media",'Mapa final'!$Z$21="Catastrófico"),CONCATENATE("R2C",'Mapa final'!$N$21),"")</f>
        <v/>
      </c>
      <c r="AM27" s="120" t="str">
        <f>IF(AND('Mapa final'!$X$22="Media",'Mapa final'!$Z$22="Catastrófico"),CONCATENATE("R2C",'Mapa final'!$N$22),"")</f>
        <v/>
      </c>
      <c r="AN27" s="50"/>
      <c r="AO27" s="387"/>
      <c r="AP27" s="388"/>
      <c r="AQ27" s="388"/>
      <c r="AR27" s="388"/>
      <c r="AS27" s="388"/>
      <c r="AT27" s="389"/>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row>
    <row r="28" spans="1:76" ht="20.100000000000001" customHeight="1" x14ac:dyDescent="0.3">
      <c r="A28" s="50"/>
      <c r="B28" s="257"/>
      <c r="C28" s="257"/>
      <c r="D28" s="258"/>
      <c r="E28" s="358"/>
      <c r="F28" s="359"/>
      <c r="G28" s="359"/>
      <c r="H28" s="359"/>
      <c r="I28" s="373"/>
      <c r="J28" s="114" t="e">
        <f>IF(AND('Mapa final'!#REF!="Media",'Mapa final'!#REF!="Leve"),CONCATENATE("R3C",'Mapa final'!#REF!),"")</f>
        <v>#REF!</v>
      </c>
      <c r="K28" s="127" t="e">
        <f>IF(AND('Mapa final'!#REF!="Media",'Mapa final'!#REF!="Leve"),CONCATENATE("R3C",'Mapa final'!#REF!),"")</f>
        <v>#REF!</v>
      </c>
      <c r="L28" s="127" t="e">
        <f>IF(AND('Mapa final'!#REF!="Media",'Mapa final'!#REF!="Leve"),CONCATENATE("R3C",'Mapa final'!#REF!),"")</f>
        <v>#REF!</v>
      </c>
      <c r="M28" s="127" t="e">
        <f>IF(AND('Mapa final'!#REF!="Media",'Mapa final'!#REF!="Leve"),CONCATENATE("R3C",'Mapa final'!#REF!),"")</f>
        <v>#REF!</v>
      </c>
      <c r="N28" s="127" t="e">
        <f>IF(AND('Mapa final'!#REF!="Media",'Mapa final'!#REF!="Leve"),CONCATENATE("R3C",'Mapa final'!#REF!),"")</f>
        <v>#REF!</v>
      </c>
      <c r="O28" s="128" t="e">
        <f>IF(AND('Mapa final'!#REF!="Media",'Mapa final'!#REF!="Leve"),CONCATENATE("R3C",'Mapa final'!#REF!),"")</f>
        <v>#REF!</v>
      </c>
      <c r="P28" s="114" t="e">
        <f>IF(AND('Mapa final'!#REF!="Media",'Mapa final'!#REF!="Menor"),CONCATENATE("R3C",'Mapa final'!#REF!),"")</f>
        <v>#REF!</v>
      </c>
      <c r="Q28" s="127" t="e">
        <f>IF(AND('Mapa final'!#REF!="Media",'Mapa final'!#REF!="Menor"),CONCATENATE("R3C",'Mapa final'!#REF!),"")</f>
        <v>#REF!</v>
      </c>
      <c r="R28" s="127" t="e">
        <f>IF(AND('Mapa final'!#REF!="Media",'Mapa final'!#REF!="Menor"),CONCATENATE("R3C",'Mapa final'!#REF!),"")</f>
        <v>#REF!</v>
      </c>
      <c r="S28" s="127" t="e">
        <f>IF(AND('Mapa final'!#REF!="Media",'Mapa final'!#REF!="Menor"),CONCATENATE("R3C",'Mapa final'!#REF!),"")</f>
        <v>#REF!</v>
      </c>
      <c r="T28" s="127" t="e">
        <f>IF(AND('Mapa final'!#REF!="Media",'Mapa final'!#REF!="Menor"),CONCATENATE("R3C",'Mapa final'!#REF!),"")</f>
        <v>#REF!</v>
      </c>
      <c r="U28" s="128" t="e">
        <f>IF(AND('Mapa final'!#REF!="Media",'Mapa final'!#REF!="Menor"),CONCATENATE("R3C",'Mapa final'!#REF!),"")</f>
        <v>#REF!</v>
      </c>
      <c r="V28" s="114" t="e">
        <f>IF(AND('Mapa final'!#REF!="Media",'Mapa final'!#REF!="Moderado"),CONCATENATE("R3C",'Mapa final'!#REF!),"")</f>
        <v>#REF!</v>
      </c>
      <c r="W28" s="127" t="e">
        <f>IF(AND('Mapa final'!#REF!="Media",'Mapa final'!#REF!="Moderado"),CONCATENATE("R3C",'Mapa final'!#REF!),"")</f>
        <v>#REF!</v>
      </c>
      <c r="X28" s="127" t="e">
        <f>IF(AND('Mapa final'!#REF!="Media",'Mapa final'!#REF!="Moderado"),CONCATENATE("R3C",'Mapa final'!#REF!),"")</f>
        <v>#REF!</v>
      </c>
      <c r="Y28" s="127" t="e">
        <f>IF(AND('Mapa final'!#REF!="Media",'Mapa final'!#REF!="Moderado"),CONCATENATE("R3C",'Mapa final'!#REF!),"")</f>
        <v>#REF!</v>
      </c>
      <c r="Z28" s="127" t="e">
        <f>IF(AND('Mapa final'!#REF!="Media",'Mapa final'!#REF!="Moderado"),CONCATENATE("R3C",'Mapa final'!#REF!),"")</f>
        <v>#REF!</v>
      </c>
      <c r="AA28" s="128" t="e">
        <f>IF(AND('Mapa final'!#REF!="Media",'Mapa final'!#REF!="Moderado"),CONCATENATE("R3C",'Mapa final'!#REF!),"")</f>
        <v>#REF!</v>
      </c>
      <c r="AB28" s="107" t="e">
        <f>IF(AND('Mapa final'!#REF!="Media",'Mapa final'!#REF!="Mayor"),CONCATENATE("R3C",'Mapa final'!#REF!),"")</f>
        <v>#REF!</v>
      </c>
      <c r="AC28" s="108" t="e">
        <f>IF(AND('Mapa final'!#REF!="Media",'Mapa final'!#REF!="Mayor"),CONCATENATE("R3C",'Mapa final'!#REF!),"")</f>
        <v>#REF!</v>
      </c>
      <c r="AD28" s="108" t="e">
        <f>IF(AND('Mapa final'!#REF!="Media",'Mapa final'!#REF!="Mayor"),CONCATENATE("R3C",'Mapa final'!#REF!),"")</f>
        <v>#REF!</v>
      </c>
      <c r="AE28" s="108" t="e">
        <f>IF(AND('Mapa final'!#REF!="Media",'Mapa final'!#REF!="Mayor"),CONCATENATE("R3C",'Mapa final'!#REF!),"")</f>
        <v>#REF!</v>
      </c>
      <c r="AF28" s="108" t="e">
        <f>IF(AND('Mapa final'!#REF!="Media",'Mapa final'!#REF!="Mayor"),CONCATENATE("R3C",'Mapa final'!#REF!),"")</f>
        <v>#REF!</v>
      </c>
      <c r="AG28" s="109" t="e">
        <f>IF(AND('Mapa final'!#REF!="Media",'Mapa final'!#REF!="Mayor"),CONCATENATE("R3C",'Mapa final'!#REF!),"")</f>
        <v>#REF!</v>
      </c>
      <c r="AH28" s="118" t="e">
        <f>IF(AND('Mapa final'!#REF!="Media",'Mapa final'!#REF!="Catastrófico"),CONCATENATE("R3C",'Mapa final'!#REF!),"")</f>
        <v>#REF!</v>
      </c>
      <c r="AI28" s="119" t="e">
        <f>IF(AND('Mapa final'!#REF!="Media",'Mapa final'!#REF!="Catastrófico"),CONCATENATE("R3C",'Mapa final'!#REF!),"")</f>
        <v>#REF!</v>
      </c>
      <c r="AJ28" s="119" t="e">
        <f>IF(AND('Mapa final'!#REF!="Media",'Mapa final'!#REF!="Catastrófico"),CONCATENATE("R3C",'Mapa final'!#REF!),"")</f>
        <v>#REF!</v>
      </c>
      <c r="AK28" s="119" t="e">
        <f>IF(AND('Mapa final'!#REF!="Media",'Mapa final'!#REF!="Catastrófico"),CONCATENATE("R3C",'Mapa final'!#REF!),"")</f>
        <v>#REF!</v>
      </c>
      <c r="AL28" s="119" t="e">
        <f>IF(AND('Mapa final'!#REF!="Media",'Mapa final'!#REF!="Catastrófico"),CONCATENATE("R3C",'Mapa final'!#REF!),"")</f>
        <v>#REF!</v>
      </c>
      <c r="AM28" s="120" t="e">
        <f>IF(AND('Mapa final'!#REF!="Media",'Mapa final'!#REF!="Catastrófico"),CONCATENATE("R3C",'Mapa final'!#REF!),"")</f>
        <v>#REF!</v>
      </c>
      <c r="AN28" s="50"/>
      <c r="AO28" s="387"/>
      <c r="AP28" s="388"/>
      <c r="AQ28" s="388"/>
      <c r="AR28" s="388"/>
      <c r="AS28" s="388"/>
      <c r="AT28" s="389"/>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row>
    <row r="29" spans="1:76" ht="20.100000000000001" customHeight="1" x14ac:dyDescent="0.3">
      <c r="A29" s="50"/>
      <c r="B29" s="257"/>
      <c r="C29" s="257"/>
      <c r="D29" s="258"/>
      <c r="E29" s="358"/>
      <c r="F29" s="359"/>
      <c r="G29" s="359"/>
      <c r="H29" s="359"/>
      <c r="I29" s="373"/>
      <c r="J29" s="114" t="e">
        <f>IF(AND('Mapa final'!#REF!="Media",'Mapa final'!#REF!="Leve"),CONCATENATE("R4C",'Mapa final'!#REF!),"")</f>
        <v>#REF!</v>
      </c>
      <c r="K29" s="127" t="e">
        <f>IF(AND('Mapa final'!#REF!="Media",'Mapa final'!#REF!="Leve"),CONCATENATE("R4C",'Mapa final'!#REF!),"")</f>
        <v>#REF!</v>
      </c>
      <c r="L29" s="127" t="e">
        <f>IF(AND('Mapa final'!#REF!="Media",'Mapa final'!#REF!="Leve"),CONCATENATE("R4C",'Mapa final'!#REF!),"")</f>
        <v>#REF!</v>
      </c>
      <c r="M29" s="127" t="e">
        <f>IF(AND('Mapa final'!#REF!="Media",'Mapa final'!#REF!="Leve"),CONCATENATE("R4C",'Mapa final'!#REF!),"")</f>
        <v>#REF!</v>
      </c>
      <c r="N29" s="127" t="e">
        <f>IF(AND('Mapa final'!#REF!="Media",'Mapa final'!#REF!="Leve"),CONCATENATE("R4C",'Mapa final'!#REF!),"")</f>
        <v>#REF!</v>
      </c>
      <c r="O29" s="128" t="e">
        <f>IF(AND('Mapa final'!#REF!="Media",'Mapa final'!#REF!="Leve"),CONCATENATE("R4C",'Mapa final'!#REF!),"")</f>
        <v>#REF!</v>
      </c>
      <c r="P29" s="114" t="e">
        <f>IF(AND('Mapa final'!#REF!="Media",'Mapa final'!#REF!="Menor"),CONCATENATE("R4C",'Mapa final'!#REF!),"")</f>
        <v>#REF!</v>
      </c>
      <c r="Q29" s="127" t="e">
        <f>IF(AND('Mapa final'!#REF!="Media",'Mapa final'!#REF!="Menor"),CONCATENATE("R4C",'Mapa final'!#REF!),"")</f>
        <v>#REF!</v>
      </c>
      <c r="R29" s="127" t="e">
        <f>IF(AND('Mapa final'!#REF!="Media",'Mapa final'!#REF!="Menor"),CONCATENATE("R4C",'Mapa final'!#REF!),"")</f>
        <v>#REF!</v>
      </c>
      <c r="S29" s="127" t="e">
        <f>IF(AND('Mapa final'!#REF!="Media",'Mapa final'!#REF!="Menor"),CONCATENATE("R4C",'Mapa final'!#REF!),"")</f>
        <v>#REF!</v>
      </c>
      <c r="T29" s="127" t="e">
        <f>IF(AND('Mapa final'!#REF!="Media",'Mapa final'!#REF!="Menor"),CONCATENATE("R4C",'Mapa final'!#REF!),"")</f>
        <v>#REF!</v>
      </c>
      <c r="U29" s="128" t="e">
        <f>IF(AND('Mapa final'!#REF!="Media",'Mapa final'!#REF!="Menor"),CONCATENATE("R4C",'Mapa final'!#REF!),"")</f>
        <v>#REF!</v>
      </c>
      <c r="V29" s="114" t="e">
        <f>IF(AND('Mapa final'!#REF!="Media",'Mapa final'!#REF!="Moderado"),CONCATENATE("R4C",'Mapa final'!#REF!),"")</f>
        <v>#REF!</v>
      </c>
      <c r="W29" s="127" t="e">
        <f>IF(AND('Mapa final'!#REF!="Media",'Mapa final'!#REF!="Moderado"),CONCATENATE("R4C",'Mapa final'!#REF!),"")</f>
        <v>#REF!</v>
      </c>
      <c r="X29" s="127" t="e">
        <f>IF(AND('Mapa final'!#REF!="Media",'Mapa final'!#REF!="Moderado"),CONCATENATE("R4C",'Mapa final'!#REF!),"")</f>
        <v>#REF!</v>
      </c>
      <c r="Y29" s="127" t="e">
        <f>IF(AND('Mapa final'!#REF!="Media",'Mapa final'!#REF!="Moderado"),CONCATENATE("R4C",'Mapa final'!#REF!),"")</f>
        <v>#REF!</v>
      </c>
      <c r="Z29" s="127" t="e">
        <f>IF(AND('Mapa final'!#REF!="Media",'Mapa final'!#REF!="Moderado"),CONCATENATE("R4C",'Mapa final'!#REF!),"")</f>
        <v>#REF!</v>
      </c>
      <c r="AA29" s="128" t="e">
        <f>IF(AND('Mapa final'!#REF!="Media",'Mapa final'!#REF!="Moderado"),CONCATENATE("R4C",'Mapa final'!#REF!),"")</f>
        <v>#REF!</v>
      </c>
      <c r="AB29" s="107" t="e">
        <f>IF(AND('Mapa final'!#REF!="Media",'Mapa final'!#REF!="Mayor"),CONCATENATE("R4C",'Mapa final'!#REF!),"")</f>
        <v>#REF!</v>
      </c>
      <c r="AC29" s="108" t="e">
        <f>IF(AND('Mapa final'!#REF!="Media",'Mapa final'!#REF!="Mayor"),CONCATENATE("R4C",'Mapa final'!#REF!),"")</f>
        <v>#REF!</v>
      </c>
      <c r="AD29" s="110" t="e">
        <f>IF(AND('Mapa final'!#REF!="Media",'Mapa final'!#REF!="Mayor"),CONCATENATE("R4C",'Mapa final'!#REF!),"")</f>
        <v>#REF!</v>
      </c>
      <c r="AE29" s="110" t="e">
        <f>IF(AND('Mapa final'!#REF!="Media",'Mapa final'!#REF!="Mayor"),CONCATENATE("R4C",'Mapa final'!#REF!),"")</f>
        <v>#REF!</v>
      </c>
      <c r="AF29" s="110" t="e">
        <f>IF(AND('Mapa final'!#REF!="Media",'Mapa final'!#REF!="Mayor"),CONCATENATE("R4C",'Mapa final'!#REF!),"")</f>
        <v>#REF!</v>
      </c>
      <c r="AG29" s="109" t="e">
        <f>IF(AND('Mapa final'!#REF!="Media",'Mapa final'!#REF!="Mayor"),CONCATENATE("R4C",'Mapa final'!#REF!),"")</f>
        <v>#REF!</v>
      </c>
      <c r="AH29" s="118" t="e">
        <f>IF(AND('Mapa final'!#REF!="Media",'Mapa final'!#REF!="Catastrófico"),CONCATENATE("R4C",'Mapa final'!#REF!),"")</f>
        <v>#REF!</v>
      </c>
      <c r="AI29" s="119" t="e">
        <f>IF(AND('Mapa final'!#REF!="Media",'Mapa final'!#REF!="Catastrófico"),CONCATENATE("R4C",'Mapa final'!#REF!),"")</f>
        <v>#REF!</v>
      </c>
      <c r="AJ29" s="119" t="e">
        <f>IF(AND('Mapa final'!#REF!="Media",'Mapa final'!#REF!="Catastrófico"),CONCATENATE("R4C",'Mapa final'!#REF!),"")</f>
        <v>#REF!</v>
      </c>
      <c r="AK29" s="119" t="e">
        <f>IF(AND('Mapa final'!#REF!="Media",'Mapa final'!#REF!="Catastrófico"),CONCATENATE("R4C",'Mapa final'!#REF!),"")</f>
        <v>#REF!</v>
      </c>
      <c r="AL29" s="119" t="e">
        <f>IF(AND('Mapa final'!#REF!="Media",'Mapa final'!#REF!="Catastrófico"),CONCATENATE("R4C",'Mapa final'!#REF!),"")</f>
        <v>#REF!</v>
      </c>
      <c r="AM29" s="120" t="e">
        <f>IF(AND('Mapa final'!#REF!="Media",'Mapa final'!#REF!="Catastrófico"),CONCATENATE("R4C",'Mapa final'!#REF!),"")</f>
        <v>#REF!</v>
      </c>
      <c r="AN29" s="50"/>
      <c r="AO29" s="387"/>
      <c r="AP29" s="388"/>
      <c r="AQ29" s="388"/>
      <c r="AR29" s="388"/>
      <c r="AS29" s="388"/>
      <c r="AT29" s="389"/>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row>
    <row r="30" spans="1:76" ht="20.100000000000001" customHeight="1" x14ac:dyDescent="0.3">
      <c r="A30" s="50"/>
      <c r="B30" s="257"/>
      <c r="C30" s="257"/>
      <c r="D30" s="258"/>
      <c r="E30" s="358"/>
      <c r="F30" s="359"/>
      <c r="G30" s="359"/>
      <c r="H30" s="359"/>
      <c r="I30" s="373"/>
      <c r="J30" s="114" t="str">
        <f>IF(AND('Mapa final'!$X$23="Media",'Mapa final'!$Z$23="Leve"),CONCATENATE("R5C",'Mapa final'!$N$23),"")</f>
        <v/>
      </c>
      <c r="K30" s="127" t="str">
        <f>IF(AND('Mapa final'!$X$24="Media",'Mapa final'!$Z$24="Leve"),CONCATENATE("R5C",'Mapa final'!$N$24),"")</f>
        <v/>
      </c>
      <c r="L30" s="127" t="str">
        <f>IF(AND('Mapa final'!$X$25="Media",'Mapa final'!$Z$25="Leve"),CONCATENATE("R5C",'Mapa final'!$N$25),"")</f>
        <v/>
      </c>
      <c r="M30" s="127" t="str">
        <f>IF(AND('Mapa final'!$X$26="Media",'Mapa final'!$Z$26="Leve"),CONCATENATE("R5C",'Mapa final'!$N$26),"")</f>
        <v/>
      </c>
      <c r="N30" s="127" t="str">
        <f>IF(AND('Mapa final'!$X$27="Media",'Mapa final'!$Z$27="Leve"),CONCATENATE("R5C",'Mapa final'!$N$27),"")</f>
        <v/>
      </c>
      <c r="O30" s="128" t="str">
        <f>IF(AND('Mapa final'!$X$28="Media",'Mapa final'!$Z$28="Leve"),CONCATENATE("R5C",'Mapa final'!$N$28),"")</f>
        <v/>
      </c>
      <c r="P30" s="114" t="str">
        <f>IF(AND('Mapa final'!$X$23="Media",'Mapa final'!$Z$23="Menor"),CONCATENATE("R5C",'Mapa final'!$N$23),"")</f>
        <v/>
      </c>
      <c r="Q30" s="127" t="str">
        <f>IF(AND('Mapa final'!$X$24="Media",'Mapa final'!$Z$24="Menor"),CONCATENATE("R5C",'Mapa final'!$N$24),"")</f>
        <v/>
      </c>
      <c r="R30" s="127" t="str">
        <f>IF(AND('Mapa final'!$X$25="Media",'Mapa final'!$Z$25="Menor"),CONCATENATE("R5C",'Mapa final'!$N$25),"")</f>
        <v/>
      </c>
      <c r="S30" s="127" t="str">
        <f>IF(AND('Mapa final'!$X$26="Media",'Mapa final'!$Z$26="Menor"),CONCATENATE("R5C",'Mapa final'!$N$26),"")</f>
        <v/>
      </c>
      <c r="T30" s="127" t="str">
        <f>IF(AND('Mapa final'!$X$27="Media",'Mapa final'!$Z$27="Menor"),CONCATENATE("R5C",'Mapa final'!$N$27),"")</f>
        <v/>
      </c>
      <c r="U30" s="128" t="str">
        <f>IF(AND('Mapa final'!$X$28="Media",'Mapa final'!$Z$28="Menor"),CONCATENATE("R5C",'Mapa final'!$N$28),"")</f>
        <v/>
      </c>
      <c r="V30" s="114" t="str">
        <f>IF(AND('Mapa final'!$X$23="Media",'Mapa final'!$Z$23="Moderado"),CONCATENATE("R5C",'Mapa final'!$N$23),"")</f>
        <v/>
      </c>
      <c r="W30" s="127" t="str">
        <f>IF(AND('Mapa final'!$X$24="Media",'Mapa final'!$Z$24="Moderado"),CONCATENATE("R5C",'Mapa final'!$N$24),"")</f>
        <v/>
      </c>
      <c r="X30" s="127" t="str">
        <f>IF(AND('Mapa final'!$X$25="Media",'Mapa final'!$Z$25="Moderado"),CONCATENATE("R5C",'Mapa final'!$N$25),"")</f>
        <v/>
      </c>
      <c r="Y30" s="127" t="str">
        <f>IF(AND('Mapa final'!$X$26="Media",'Mapa final'!$Z$26="Moderado"),CONCATENATE("R5C",'Mapa final'!$N$26),"")</f>
        <v/>
      </c>
      <c r="Z30" s="127" t="str">
        <f>IF(AND('Mapa final'!$X$27="Media",'Mapa final'!$Z$27="Moderado"),CONCATENATE("R5C",'Mapa final'!$N$27),"")</f>
        <v/>
      </c>
      <c r="AA30" s="128" t="str">
        <f>IF(AND('Mapa final'!$X$28="Media",'Mapa final'!$Z$28="Moderado"),CONCATENATE("R5C",'Mapa final'!$N$28),"")</f>
        <v/>
      </c>
      <c r="AB30" s="107" t="str">
        <f>IF(AND('Mapa final'!$X$23="Media",'Mapa final'!$Z$23="Mayor"),CONCATENATE("R5C",'Mapa final'!$N$23),"")</f>
        <v/>
      </c>
      <c r="AC30" s="108" t="str">
        <f>IF(AND('Mapa final'!$X$24="Media",'Mapa final'!$Z$24="Mayor"),CONCATENATE("R5C",'Mapa final'!$N$24),"")</f>
        <v/>
      </c>
      <c r="AD30" s="110" t="str">
        <f>IF(AND('Mapa final'!$X$25="Media",'Mapa final'!$Z$25="Mayor"),CONCATENATE("R5C",'Mapa final'!$N$25),"")</f>
        <v/>
      </c>
      <c r="AE30" s="110" t="str">
        <f>IF(AND('Mapa final'!$X$26="Media",'Mapa final'!$Z$26="Mayor"),CONCATENATE("R5C",'Mapa final'!$N$26),"")</f>
        <v/>
      </c>
      <c r="AF30" s="110" t="str">
        <f>IF(AND('Mapa final'!$X$27="Media",'Mapa final'!$Z$27="Mayor"),CONCATENATE("R5C",'Mapa final'!$N$27),"")</f>
        <v/>
      </c>
      <c r="AG30" s="109" t="str">
        <f>IF(AND('Mapa final'!$X$28="Media",'Mapa final'!$Z$28="Mayor"),CONCATENATE("R5C",'Mapa final'!$N$28),"")</f>
        <v/>
      </c>
      <c r="AH30" s="118" t="str">
        <f>IF(AND('Mapa final'!$X$23="Media",'Mapa final'!$Z$23="Catastrófico"),CONCATENATE("R5C",'Mapa final'!$N$23),"")</f>
        <v/>
      </c>
      <c r="AI30" s="119" t="str">
        <f>IF(AND('Mapa final'!$X$24="Media",'Mapa final'!$Z$24="Catastrófico"),CONCATENATE("R5C",'Mapa final'!$N$24),"")</f>
        <v/>
      </c>
      <c r="AJ30" s="119" t="str">
        <f>IF(AND('Mapa final'!$X$25="Media",'Mapa final'!$Z$25="Catastrófico"),CONCATENATE("R5C",'Mapa final'!$N$25),"")</f>
        <v/>
      </c>
      <c r="AK30" s="119" t="str">
        <f>IF(AND('Mapa final'!$X$26="Media",'Mapa final'!$Z$26="Catastrófico"),CONCATENATE("R5C",'Mapa final'!$N$26),"")</f>
        <v/>
      </c>
      <c r="AL30" s="119" t="str">
        <f>IF(AND('Mapa final'!$X$27="Media",'Mapa final'!$Z$27="Catastrófico"),CONCATENATE("R5C",'Mapa final'!$N$27),"")</f>
        <v/>
      </c>
      <c r="AM30" s="120" t="str">
        <f>IF(AND('Mapa final'!$X$28="Media",'Mapa final'!$Z$28="Catastrófico"),CONCATENATE("R5C",'Mapa final'!$N$28),"")</f>
        <v/>
      </c>
      <c r="AN30" s="50"/>
      <c r="AO30" s="387"/>
      <c r="AP30" s="388"/>
      <c r="AQ30" s="388"/>
      <c r="AR30" s="388"/>
      <c r="AS30" s="388"/>
      <c r="AT30" s="389"/>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row>
    <row r="31" spans="1:76" ht="20.100000000000001" customHeight="1" x14ac:dyDescent="0.3">
      <c r="A31" s="50"/>
      <c r="B31" s="257"/>
      <c r="C31" s="257"/>
      <c r="D31" s="258"/>
      <c r="E31" s="358"/>
      <c r="F31" s="359"/>
      <c r="G31" s="359"/>
      <c r="H31" s="359"/>
      <c r="I31" s="373"/>
      <c r="J31" s="114" t="str">
        <f>IF(AND('Mapa final'!$X$29="Media",'Mapa final'!$Z$29="Leve"),CONCATENATE("R6C",'Mapa final'!$N$29),"")</f>
        <v/>
      </c>
      <c r="K31" s="127" t="str">
        <f>IF(AND('Mapa final'!$X$30="Media",'Mapa final'!$Z$30="Leve"),CONCATENATE("R6C",'Mapa final'!$N$30),"")</f>
        <v/>
      </c>
      <c r="L31" s="127" t="str">
        <f>IF(AND('Mapa final'!$X$31="Media",'Mapa final'!$Z$31="Leve"),CONCATENATE("R6C",'Mapa final'!$N$31),"")</f>
        <v/>
      </c>
      <c r="M31" s="127" t="str">
        <f>IF(AND('Mapa final'!$X$32="Media",'Mapa final'!$Z$32="Leve"),CONCATENATE("R6C",'Mapa final'!$N$32),"")</f>
        <v/>
      </c>
      <c r="N31" s="127" t="str">
        <f>IF(AND('Mapa final'!$X$33="Media",'Mapa final'!$Z$33="Leve"),CONCATENATE("R6C",'Mapa final'!$N$33),"")</f>
        <v/>
      </c>
      <c r="O31" s="128" t="str">
        <f>IF(AND('Mapa final'!$X$34="Media",'Mapa final'!$Z$34="Leve"),CONCATENATE("R6C",'Mapa final'!$N$34),"")</f>
        <v/>
      </c>
      <c r="P31" s="114" t="str">
        <f>IF(AND('Mapa final'!$X$29="Media",'Mapa final'!$Z$29="Menor"),CONCATENATE("R6C",'Mapa final'!$N$29),"")</f>
        <v/>
      </c>
      <c r="Q31" s="127" t="str">
        <f>IF(AND('Mapa final'!$X$30="Media",'Mapa final'!$Z$30="Menor"),CONCATENATE("R6C",'Mapa final'!$N$30),"")</f>
        <v/>
      </c>
      <c r="R31" s="127" t="str">
        <f>IF(AND('Mapa final'!$X$31="Media",'Mapa final'!$Z$31="Menor"),CONCATENATE("R6C",'Mapa final'!$N$31),"")</f>
        <v/>
      </c>
      <c r="S31" s="127" t="str">
        <f>IF(AND('Mapa final'!$X$32="Media",'Mapa final'!$Z$32="Menor"),CONCATENATE("R6C",'Mapa final'!$N$32),"")</f>
        <v/>
      </c>
      <c r="T31" s="127" t="str">
        <f>IF(AND('Mapa final'!$X$33="Media",'Mapa final'!$Z$33="Menor"),CONCATENATE("R6C",'Mapa final'!$N$33),"")</f>
        <v/>
      </c>
      <c r="U31" s="128" t="str">
        <f>IF(AND('Mapa final'!$X$34="Media",'Mapa final'!$Z$34="Menor"),CONCATENATE("R6C",'Mapa final'!$N$34),"")</f>
        <v/>
      </c>
      <c r="V31" s="114" t="str">
        <f>IF(AND('Mapa final'!$X$29="Media",'Mapa final'!$Z$29="Moderado"),CONCATENATE("R6C",'Mapa final'!$N$29),"")</f>
        <v/>
      </c>
      <c r="W31" s="127" t="str">
        <f>IF(AND('Mapa final'!$X$30="Media",'Mapa final'!$Z$30="Moderado"),CONCATENATE("R6C",'Mapa final'!$N$30),"")</f>
        <v/>
      </c>
      <c r="X31" s="127" t="str">
        <f>IF(AND('Mapa final'!$X$31="Media",'Mapa final'!$Z$31="Moderado"),CONCATENATE("R6C",'Mapa final'!$N$31),"")</f>
        <v/>
      </c>
      <c r="Y31" s="127" t="str">
        <f>IF(AND('Mapa final'!$X$32="Media",'Mapa final'!$Z$32="Moderado"),CONCATENATE("R6C",'Mapa final'!$N$32),"")</f>
        <v/>
      </c>
      <c r="Z31" s="127" t="str">
        <f>IF(AND('Mapa final'!$X$33="Media",'Mapa final'!$Z$33="Moderado"),CONCATENATE("R6C",'Mapa final'!$N$33),"")</f>
        <v/>
      </c>
      <c r="AA31" s="128" t="str">
        <f>IF(AND('Mapa final'!$X$34="Media",'Mapa final'!$Z$34="Moderado"),CONCATENATE("R6C",'Mapa final'!$N$34),"")</f>
        <v/>
      </c>
      <c r="AB31" s="107" t="str">
        <f>IF(AND('Mapa final'!$X$29="Media",'Mapa final'!$Z$29="Mayor"),CONCATENATE("R6C",'Mapa final'!$N$29),"")</f>
        <v/>
      </c>
      <c r="AC31" s="108" t="str">
        <f>IF(AND('Mapa final'!$X$30="Media",'Mapa final'!$Z$30="Mayor"),CONCATENATE("R6C",'Mapa final'!$N$30),"")</f>
        <v/>
      </c>
      <c r="AD31" s="110" t="str">
        <f>IF(AND('Mapa final'!$X$31="Media",'Mapa final'!$Z$31="Mayor"),CONCATENATE("R6C",'Mapa final'!$N$31),"")</f>
        <v/>
      </c>
      <c r="AE31" s="110" t="str">
        <f>IF(AND('Mapa final'!$X$32="Media",'Mapa final'!$Z$32="Mayor"),CONCATENATE("R6C",'Mapa final'!$N$32),"")</f>
        <v/>
      </c>
      <c r="AF31" s="110" t="str">
        <f>IF(AND('Mapa final'!$X$33="Media",'Mapa final'!$Z$33="Mayor"),CONCATENATE("R6C",'Mapa final'!$N$33),"")</f>
        <v/>
      </c>
      <c r="AG31" s="109" t="str">
        <f>IF(AND('Mapa final'!$X$34="Media",'Mapa final'!$Z$34="Mayor"),CONCATENATE("R6C",'Mapa final'!$N$34),"")</f>
        <v/>
      </c>
      <c r="AH31" s="118" t="str">
        <f>IF(AND('Mapa final'!$X$29="Media",'Mapa final'!$Z$29="Catastrófico"),CONCATENATE("R6C",'Mapa final'!$N$29),"")</f>
        <v/>
      </c>
      <c r="AI31" s="119" t="str">
        <f>IF(AND('Mapa final'!$X$30="Media",'Mapa final'!$Z$30="Catastrófico"),CONCATENATE("R6C",'Mapa final'!$N$30),"")</f>
        <v/>
      </c>
      <c r="AJ31" s="119" t="str">
        <f>IF(AND('Mapa final'!$X$31="Media",'Mapa final'!$Z$31="Catastrófico"),CONCATENATE("R6C",'Mapa final'!$N$31),"")</f>
        <v/>
      </c>
      <c r="AK31" s="119" t="str">
        <f>IF(AND('Mapa final'!$X$32="Media",'Mapa final'!$Z$32="Catastrófico"),CONCATENATE("R6C",'Mapa final'!$N$32),"")</f>
        <v/>
      </c>
      <c r="AL31" s="119" t="str">
        <f>IF(AND('Mapa final'!$X$33="Media",'Mapa final'!$Z$33="Catastrófico"),CONCATENATE("R6C",'Mapa final'!$N$33),"")</f>
        <v/>
      </c>
      <c r="AM31" s="120" t="str">
        <f>IF(AND('Mapa final'!$X$34="Media",'Mapa final'!$Z$34="Catastrófico"),CONCATENATE("R6C",'Mapa final'!$N$34),"")</f>
        <v/>
      </c>
      <c r="AN31" s="50"/>
      <c r="AO31" s="387"/>
      <c r="AP31" s="388"/>
      <c r="AQ31" s="388"/>
      <c r="AR31" s="388"/>
      <c r="AS31" s="388"/>
      <c r="AT31" s="389"/>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row>
    <row r="32" spans="1:76" ht="20.100000000000001" customHeight="1" x14ac:dyDescent="0.3">
      <c r="A32" s="50"/>
      <c r="B32" s="257"/>
      <c r="C32" s="257"/>
      <c r="D32" s="258"/>
      <c r="E32" s="358"/>
      <c r="F32" s="359"/>
      <c r="G32" s="359"/>
      <c r="H32" s="359"/>
      <c r="I32" s="373"/>
      <c r="J32" s="114" t="str">
        <f>IF(AND('Mapa final'!$X$35="Media",'Mapa final'!$Z$35="Leve"),CONCATENATE("R7C",'Mapa final'!$N$35),"")</f>
        <v/>
      </c>
      <c r="K32" s="127" t="str">
        <f>IF(AND('Mapa final'!$X$36="Media",'Mapa final'!$Z$36="Leve"),CONCATENATE("R7C",'Mapa final'!$N$36),"")</f>
        <v/>
      </c>
      <c r="L32" s="127" t="str">
        <f>IF(AND('Mapa final'!$X$37="Media",'Mapa final'!$Z$37="Leve"),CONCATENATE("R7C",'Mapa final'!$N$37),"")</f>
        <v/>
      </c>
      <c r="M32" s="127" t="str">
        <f>IF(AND('Mapa final'!$X$38="Media",'Mapa final'!$Z$38="Leve"),CONCATENATE("R7C",'Mapa final'!$N$38),"")</f>
        <v/>
      </c>
      <c r="N32" s="127" t="str">
        <f>IF(AND('Mapa final'!$X$39="Media",'Mapa final'!$Z$39="Leve"),CONCATENATE("R7C",'Mapa final'!$N$39),"")</f>
        <v/>
      </c>
      <c r="O32" s="128" t="str">
        <f>IF(AND('Mapa final'!$X$40="Media",'Mapa final'!$Z$40="Leve"),CONCATENATE("R7C",'Mapa final'!$N$40),"")</f>
        <v/>
      </c>
      <c r="P32" s="114" t="str">
        <f>IF(AND('Mapa final'!$X$35="Media",'Mapa final'!$Z$35="Menor"),CONCATENATE("R7C",'Mapa final'!$N$35),"")</f>
        <v/>
      </c>
      <c r="Q32" s="127" t="str">
        <f>IF(AND('Mapa final'!$X$36="Media",'Mapa final'!$Z$36="Menor"),CONCATENATE("R7C",'Mapa final'!$N$36),"")</f>
        <v/>
      </c>
      <c r="R32" s="127" t="str">
        <f>IF(AND('Mapa final'!$X$37="Media",'Mapa final'!$Z$37="Menor"),CONCATENATE("R7C",'Mapa final'!$N$37),"")</f>
        <v/>
      </c>
      <c r="S32" s="127" t="str">
        <f>IF(AND('Mapa final'!$X$38="Media",'Mapa final'!$Z$38="Menor"),CONCATENATE("R7C",'Mapa final'!$N$38),"")</f>
        <v/>
      </c>
      <c r="T32" s="127" t="str">
        <f>IF(AND('Mapa final'!$X$39="Media",'Mapa final'!$Z$39="Menor"),CONCATENATE("R7C",'Mapa final'!$N$39),"")</f>
        <v/>
      </c>
      <c r="U32" s="128" t="str">
        <f>IF(AND('Mapa final'!$X$40="Media",'Mapa final'!$Z$40="Menor"),CONCATENATE("R7C",'Mapa final'!$N$40),"")</f>
        <v/>
      </c>
      <c r="V32" s="114" t="str">
        <f>IF(AND('Mapa final'!$X$35="Media",'Mapa final'!$Z$35="Moderado"),CONCATENATE("R7C",'Mapa final'!$N$35),"")</f>
        <v/>
      </c>
      <c r="W32" s="127" t="str">
        <f>IF(AND('Mapa final'!$X$36="Media",'Mapa final'!$Z$36="Moderado"),CONCATENATE("R7C",'Mapa final'!$N$36),"")</f>
        <v/>
      </c>
      <c r="X32" s="127" t="str">
        <f>IF(AND('Mapa final'!$X$37="Media",'Mapa final'!$Z$37="Moderado"),CONCATENATE("R7C",'Mapa final'!$N$37),"")</f>
        <v/>
      </c>
      <c r="Y32" s="127" t="str">
        <f>IF(AND('Mapa final'!$X$38="Media",'Mapa final'!$Z$38="Moderado"),CONCATENATE("R7C",'Mapa final'!$N$38),"")</f>
        <v/>
      </c>
      <c r="Z32" s="127" t="str">
        <f>IF(AND('Mapa final'!$X$39="Media",'Mapa final'!$Z$39="Moderado"),CONCATENATE("R7C",'Mapa final'!$N$39),"")</f>
        <v/>
      </c>
      <c r="AA32" s="128" t="str">
        <f>IF(AND('Mapa final'!$X$40="Media",'Mapa final'!$Z$40="Moderado"),CONCATENATE("R7C",'Mapa final'!$N$40),"")</f>
        <v/>
      </c>
      <c r="AB32" s="107" t="str">
        <f>IF(AND('Mapa final'!$X$35="Media",'Mapa final'!$Z$35="Mayor"),CONCATENATE("R7C",'Mapa final'!$N$35),"")</f>
        <v/>
      </c>
      <c r="AC32" s="108" t="str">
        <f>IF(AND('Mapa final'!$X$36="Media",'Mapa final'!$Z$36="Mayor"),CONCATENATE("R7C",'Mapa final'!$N$36),"")</f>
        <v/>
      </c>
      <c r="AD32" s="110" t="str">
        <f>IF(AND('Mapa final'!$X$37="Media",'Mapa final'!$Z$37="Mayor"),CONCATENATE("R7C",'Mapa final'!$N$37),"")</f>
        <v/>
      </c>
      <c r="AE32" s="110" t="str">
        <f>IF(AND('Mapa final'!$X$38="Media",'Mapa final'!$Z$38="Mayor"),CONCATENATE("R7C",'Mapa final'!$N$38),"")</f>
        <v/>
      </c>
      <c r="AF32" s="110" t="str">
        <f>IF(AND('Mapa final'!$X$39="Media",'Mapa final'!$Z$39="Mayor"),CONCATENATE("R7C",'Mapa final'!$N$39),"")</f>
        <v/>
      </c>
      <c r="AG32" s="109" t="str">
        <f>IF(AND('Mapa final'!$X$40="Media",'Mapa final'!$Z$40="Mayor"),CONCATENATE("R7C",'Mapa final'!$N$40),"")</f>
        <v/>
      </c>
      <c r="AH32" s="118" t="str">
        <f>IF(AND('Mapa final'!$X$35="Media",'Mapa final'!$Z$35="Catastrófico"),CONCATENATE("R7C",'Mapa final'!$N$35),"")</f>
        <v/>
      </c>
      <c r="AI32" s="119" t="str">
        <f>IF(AND('Mapa final'!$X$36="Media",'Mapa final'!$Z$36="Catastrófico"),CONCATENATE("R7C",'Mapa final'!$N$36),"")</f>
        <v/>
      </c>
      <c r="AJ32" s="119" t="str">
        <f>IF(AND('Mapa final'!$X$37="Media",'Mapa final'!$Z$37="Catastrófico"),CONCATENATE("R7C",'Mapa final'!$N$37),"")</f>
        <v/>
      </c>
      <c r="AK32" s="119" t="str">
        <f>IF(AND('Mapa final'!$X$38="Media",'Mapa final'!$Z$38="Catastrófico"),CONCATENATE("R7C",'Mapa final'!$N$38),"")</f>
        <v/>
      </c>
      <c r="AL32" s="119" t="str">
        <f>IF(AND('Mapa final'!$X$39="Media",'Mapa final'!$Z$39="Catastrófico"),CONCATENATE("R7C",'Mapa final'!$N$39),"")</f>
        <v/>
      </c>
      <c r="AM32" s="120" t="str">
        <f>IF(AND('Mapa final'!$X$40="Media",'Mapa final'!$Z$40="Catastrófico"),CONCATENATE("R7C",'Mapa final'!$N$40),"")</f>
        <v/>
      </c>
      <c r="AN32" s="50"/>
      <c r="AO32" s="387"/>
      <c r="AP32" s="388"/>
      <c r="AQ32" s="388"/>
      <c r="AR32" s="388"/>
      <c r="AS32" s="388"/>
      <c r="AT32" s="389"/>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row>
    <row r="33" spans="1:80" ht="20.100000000000001" customHeight="1" x14ac:dyDescent="0.3">
      <c r="A33" s="50"/>
      <c r="B33" s="257"/>
      <c r="C33" s="257"/>
      <c r="D33" s="258"/>
      <c r="E33" s="358"/>
      <c r="F33" s="359"/>
      <c r="G33" s="359"/>
      <c r="H33" s="359"/>
      <c r="I33" s="373"/>
      <c r="J33" s="114" t="str">
        <f>IF(AND('Mapa final'!$X$41="Media",'Mapa final'!$Z$41="Leve"),CONCATENATE("R8C",'Mapa final'!$N$41),"")</f>
        <v/>
      </c>
      <c r="K33" s="127" t="str">
        <f>IF(AND('Mapa final'!$X$42="Media",'Mapa final'!$Z$42="Leve"),CONCATENATE("R8C",'Mapa final'!$N$42),"")</f>
        <v/>
      </c>
      <c r="L33" s="127" t="str">
        <f>IF(AND('Mapa final'!$X$43="Media",'Mapa final'!$Z$43="Leve"),CONCATENATE("R8C",'Mapa final'!$N$43),"")</f>
        <v/>
      </c>
      <c r="M33" s="127" t="str">
        <f>IF(AND('Mapa final'!$X$44="Media",'Mapa final'!$Z$44="Leve"),CONCATENATE("R8C",'Mapa final'!$N$44),"")</f>
        <v/>
      </c>
      <c r="N33" s="127" t="str">
        <f>IF(AND('Mapa final'!$X$45="Media",'Mapa final'!$Z$45="Leve"),CONCATENATE("R8C",'Mapa final'!$N$45),"")</f>
        <v/>
      </c>
      <c r="O33" s="128" t="str">
        <f>IF(AND('Mapa final'!$X$46="Media",'Mapa final'!$Z$46="Leve"),CONCATENATE("R8C",'Mapa final'!$N$46),"")</f>
        <v/>
      </c>
      <c r="P33" s="114" t="str">
        <f>IF(AND('Mapa final'!$X$41="Media",'Mapa final'!$Z$41="Menor"),CONCATENATE("R8C",'Mapa final'!$N$41),"")</f>
        <v/>
      </c>
      <c r="Q33" s="127" t="str">
        <f>IF(AND('Mapa final'!$X$42="Media",'Mapa final'!$Z$42="Menor"),CONCATENATE("R8C",'Mapa final'!$N$42),"")</f>
        <v/>
      </c>
      <c r="R33" s="127" t="str">
        <f>IF(AND('Mapa final'!$X$43="Media",'Mapa final'!$Z$43="Menor"),CONCATENATE("R8C",'Mapa final'!$N$43),"")</f>
        <v/>
      </c>
      <c r="S33" s="127" t="str">
        <f>IF(AND('Mapa final'!$X$44="Media",'Mapa final'!$Z$44="Menor"),CONCATENATE("R8C",'Mapa final'!$N$44),"")</f>
        <v/>
      </c>
      <c r="T33" s="127" t="str">
        <f>IF(AND('Mapa final'!$X$45="Media",'Mapa final'!$Z$45="Menor"),CONCATENATE("R8C",'Mapa final'!$N$45),"")</f>
        <v/>
      </c>
      <c r="U33" s="128" t="str">
        <f>IF(AND('Mapa final'!$X$46="Media",'Mapa final'!$Z$46="Menor"),CONCATENATE("R8C",'Mapa final'!$N$46),"")</f>
        <v/>
      </c>
      <c r="V33" s="114" t="str">
        <f>IF(AND('Mapa final'!$X$41="Media",'Mapa final'!$Z$41="Moderado"),CONCATENATE("R8C",'Mapa final'!$N$41),"")</f>
        <v/>
      </c>
      <c r="W33" s="127" t="str">
        <f>IF(AND('Mapa final'!$X$42="Media",'Mapa final'!$Z$42="Moderado"),CONCATENATE("R8C",'Mapa final'!$N$42),"")</f>
        <v/>
      </c>
      <c r="X33" s="127" t="str">
        <f>IF(AND('Mapa final'!$X$43="Media",'Mapa final'!$Z$43="Moderado"),CONCATENATE("R8C",'Mapa final'!$N$43),"")</f>
        <v/>
      </c>
      <c r="Y33" s="127" t="str">
        <f>IF(AND('Mapa final'!$X$44="Media",'Mapa final'!$Z$44="Moderado"),CONCATENATE("R8C",'Mapa final'!$N$44),"")</f>
        <v/>
      </c>
      <c r="Z33" s="127" t="str">
        <f>IF(AND('Mapa final'!$X$45="Media",'Mapa final'!$Z$45="Moderado"),CONCATENATE("R8C",'Mapa final'!$N$45),"")</f>
        <v/>
      </c>
      <c r="AA33" s="128" t="str">
        <f>IF(AND('Mapa final'!$X$46="Media",'Mapa final'!$Z$46="Moderado"),CONCATENATE("R8C",'Mapa final'!$N$46),"")</f>
        <v/>
      </c>
      <c r="AB33" s="107" t="str">
        <f>IF(AND('Mapa final'!$X$41="Media",'Mapa final'!$Z$41="Mayor"),CONCATENATE("R8C",'Mapa final'!$N$41),"")</f>
        <v/>
      </c>
      <c r="AC33" s="108" t="str">
        <f>IF(AND('Mapa final'!$X$42="Media",'Mapa final'!$Z$42="Mayor"),CONCATENATE("R8C",'Mapa final'!$N$42),"")</f>
        <v/>
      </c>
      <c r="AD33" s="110" t="str">
        <f>IF(AND('Mapa final'!$X$43="Media",'Mapa final'!$Z$43="Mayor"),CONCATENATE("R8C",'Mapa final'!$N$43),"")</f>
        <v/>
      </c>
      <c r="AE33" s="110" t="str">
        <f>IF(AND('Mapa final'!$X$44="Media",'Mapa final'!$Z$44="Mayor"),CONCATENATE("R8C",'Mapa final'!$N$44),"")</f>
        <v/>
      </c>
      <c r="AF33" s="110" t="str">
        <f>IF(AND('Mapa final'!$X$45="Media",'Mapa final'!$Z$45="Mayor"),CONCATENATE("R8C",'Mapa final'!$N$45),"")</f>
        <v/>
      </c>
      <c r="AG33" s="109" t="str">
        <f>IF(AND('Mapa final'!$X$46="Media",'Mapa final'!$Z$46="Mayor"),CONCATENATE("R8C",'Mapa final'!$N$46),"")</f>
        <v/>
      </c>
      <c r="AH33" s="118" t="str">
        <f>IF(AND('Mapa final'!$X$41="Media",'Mapa final'!$Z$41="Catastrófico"),CONCATENATE("R8C",'Mapa final'!$N$41),"")</f>
        <v/>
      </c>
      <c r="AI33" s="119" t="str">
        <f>IF(AND('Mapa final'!$X$42="Media",'Mapa final'!$Z$42="Catastrófico"),CONCATENATE("R8C",'Mapa final'!$N$42),"")</f>
        <v/>
      </c>
      <c r="AJ33" s="119" t="str">
        <f>IF(AND('Mapa final'!$X$43="Media",'Mapa final'!$Z$43="Catastrófico"),CONCATENATE("R8C",'Mapa final'!$N$43),"")</f>
        <v/>
      </c>
      <c r="AK33" s="119" t="str">
        <f>IF(AND('Mapa final'!$X$44="Media",'Mapa final'!$Z$44="Catastrófico"),CONCATENATE("R8C",'Mapa final'!$N$44),"")</f>
        <v/>
      </c>
      <c r="AL33" s="119" t="str">
        <f>IF(AND('Mapa final'!$X$45="Media",'Mapa final'!$Z$45="Catastrófico"),CONCATENATE("R8C",'Mapa final'!$N$45),"")</f>
        <v/>
      </c>
      <c r="AM33" s="120" t="str">
        <f>IF(AND('Mapa final'!$X$46="Media",'Mapa final'!$Z$46="Catastrófico"),CONCATENATE("R8C",'Mapa final'!$N$46),"")</f>
        <v/>
      </c>
      <c r="AN33" s="50"/>
      <c r="AO33" s="387"/>
      <c r="AP33" s="388"/>
      <c r="AQ33" s="388"/>
      <c r="AR33" s="388"/>
      <c r="AS33" s="388"/>
      <c r="AT33" s="389"/>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row>
    <row r="34" spans="1:80" ht="20.100000000000001" customHeight="1" x14ac:dyDescent="0.3">
      <c r="A34" s="50"/>
      <c r="B34" s="257"/>
      <c r="C34" s="257"/>
      <c r="D34" s="258"/>
      <c r="E34" s="358"/>
      <c r="F34" s="359"/>
      <c r="G34" s="359"/>
      <c r="H34" s="359"/>
      <c r="I34" s="373"/>
      <c r="J34" s="114" t="str">
        <f>IF(AND('Mapa final'!$X$47="Media",'Mapa final'!$Z$47="Leve"),CONCATENATE("R9C",'Mapa final'!$N$47),"")</f>
        <v/>
      </c>
      <c r="K34" s="127" t="str">
        <f>IF(AND('Mapa final'!$X$48="Media",'Mapa final'!$Z$48="Leve"),CONCATENATE("R9C",'Mapa final'!$N$48),"")</f>
        <v/>
      </c>
      <c r="L34" s="127" t="str">
        <f>IF(AND('Mapa final'!$X$49="Media",'Mapa final'!$Z$49="Leve"),CONCATENATE("R9C",'Mapa final'!$N$49),"")</f>
        <v/>
      </c>
      <c r="M34" s="127" t="str">
        <f>IF(AND('Mapa final'!$X$50="Media",'Mapa final'!$Z$50="Leve"),CONCATENATE("R9C",'Mapa final'!$N$50),"")</f>
        <v/>
      </c>
      <c r="N34" s="127" t="str">
        <f>IF(AND('Mapa final'!$X$51="Media",'Mapa final'!$Z$51="Leve"),CONCATENATE("R9C",'Mapa final'!$N$51),"")</f>
        <v/>
      </c>
      <c r="O34" s="128" t="str">
        <f>IF(AND('Mapa final'!$X$52="Media",'Mapa final'!$Z$52="Leve"),CONCATENATE("R9C",'Mapa final'!$N$52),"")</f>
        <v/>
      </c>
      <c r="P34" s="114" t="str">
        <f>IF(AND('Mapa final'!$X$47="Media",'Mapa final'!$Z$47="Menor"),CONCATENATE("R9C",'Mapa final'!$N$47),"")</f>
        <v/>
      </c>
      <c r="Q34" s="127" t="str">
        <f>IF(AND('Mapa final'!$X$48="Media",'Mapa final'!$Z$48="Menor"),CONCATENATE("R9C",'Mapa final'!$N$48),"")</f>
        <v/>
      </c>
      <c r="R34" s="127" t="str">
        <f>IF(AND('Mapa final'!$X$49="Media",'Mapa final'!$Z$49="Menor"),CONCATENATE("R9C",'Mapa final'!$N$49),"")</f>
        <v/>
      </c>
      <c r="S34" s="127" t="str">
        <f>IF(AND('Mapa final'!$X$50="Media",'Mapa final'!$Z$50="Menor"),CONCATENATE("R9C",'Mapa final'!$N$50),"")</f>
        <v/>
      </c>
      <c r="T34" s="127" t="str">
        <f>IF(AND('Mapa final'!$X$51="Media",'Mapa final'!$Z$51="Menor"),CONCATENATE("R9C",'Mapa final'!$N$51),"")</f>
        <v/>
      </c>
      <c r="U34" s="128" t="str">
        <f>IF(AND('Mapa final'!$X$52="Media",'Mapa final'!$Z$52="Menor"),CONCATENATE("R9C",'Mapa final'!$N$52),"")</f>
        <v/>
      </c>
      <c r="V34" s="114" t="str">
        <f>IF(AND('Mapa final'!$X$47="Media",'Mapa final'!$Z$47="Moderado"),CONCATENATE("R9C",'Mapa final'!$N$47),"")</f>
        <v/>
      </c>
      <c r="W34" s="127" t="str">
        <f>IF(AND('Mapa final'!$X$48="Media",'Mapa final'!$Z$48="Moderado"),CONCATENATE("R9C",'Mapa final'!$N$48),"")</f>
        <v/>
      </c>
      <c r="X34" s="127" t="str">
        <f>IF(AND('Mapa final'!$X$49="Media",'Mapa final'!$Z$49="Moderado"),CONCATENATE("R9C",'Mapa final'!$N$49),"")</f>
        <v/>
      </c>
      <c r="Y34" s="127" t="str">
        <f>IF(AND('Mapa final'!$X$50="Media",'Mapa final'!$Z$50="Moderado"),CONCATENATE("R9C",'Mapa final'!$N$50),"")</f>
        <v/>
      </c>
      <c r="Z34" s="127" t="str">
        <f>IF(AND('Mapa final'!$X$51="Media",'Mapa final'!$Z$51="Moderado"),CONCATENATE("R9C",'Mapa final'!$N$51),"")</f>
        <v/>
      </c>
      <c r="AA34" s="128" t="str">
        <f>IF(AND('Mapa final'!$X$52="Media",'Mapa final'!$Z$52="Moderado"),CONCATENATE("R9C",'Mapa final'!$N$52),"")</f>
        <v/>
      </c>
      <c r="AB34" s="107" t="str">
        <f>IF(AND('Mapa final'!$X$47="Media",'Mapa final'!$Z$47="Mayor"),CONCATENATE("R9C",'Mapa final'!$N$47),"")</f>
        <v/>
      </c>
      <c r="AC34" s="108" t="str">
        <f>IF(AND('Mapa final'!$X$48="Media",'Mapa final'!$Z$48="Mayor"),CONCATENATE("R9C",'Mapa final'!$N$48),"")</f>
        <v/>
      </c>
      <c r="AD34" s="110" t="str">
        <f>IF(AND('Mapa final'!$X$49="Media",'Mapa final'!$Z$49="Mayor"),CONCATENATE("R9C",'Mapa final'!$N$49),"")</f>
        <v/>
      </c>
      <c r="AE34" s="110" t="str">
        <f>IF(AND('Mapa final'!$X$50="Media",'Mapa final'!$Z$50="Mayor"),CONCATENATE("R9C",'Mapa final'!$N$50),"")</f>
        <v/>
      </c>
      <c r="AF34" s="110" t="str">
        <f>IF(AND('Mapa final'!$X$51="Media",'Mapa final'!$Z$51="Mayor"),CONCATENATE("R9C",'Mapa final'!$N$51),"")</f>
        <v/>
      </c>
      <c r="AG34" s="109" t="str">
        <f>IF(AND('Mapa final'!$X$52="Media",'Mapa final'!$Z$52="Mayor"),CONCATENATE("R9C",'Mapa final'!$N$52),"")</f>
        <v/>
      </c>
      <c r="AH34" s="118" t="str">
        <f>IF(AND('Mapa final'!$X$47="Media",'Mapa final'!$Z$47="Catastrófico"),CONCATENATE("R9C",'Mapa final'!$N$47),"")</f>
        <v/>
      </c>
      <c r="AI34" s="119" t="str">
        <f>IF(AND('Mapa final'!$X$48="Media",'Mapa final'!$Z$48="Catastrófico"),CONCATENATE("R9C",'Mapa final'!$N$48),"")</f>
        <v/>
      </c>
      <c r="AJ34" s="119" t="str">
        <f>IF(AND('Mapa final'!$X$49="Media",'Mapa final'!$Z$49="Catastrófico"),CONCATENATE("R9C",'Mapa final'!$N$49),"")</f>
        <v/>
      </c>
      <c r="AK34" s="119" t="str">
        <f>IF(AND('Mapa final'!$X$50="Media",'Mapa final'!$Z$50="Catastrófico"),CONCATENATE("R9C",'Mapa final'!$N$50),"")</f>
        <v/>
      </c>
      <c r="AL34" s="119" t="str">
        <f>IF(AND('Mapa final'!$X$51="Media",'Mapa final'!$Z$51="Catastrófico"),CONCATENATE("R9C",'Mapa final'!$N$51),"")</f>
        <v/>
      </c>
      <c r="AM34" s="120" t="str">
        <f>IF(AND('Mapa final'!$X$52="Media",'Mapa final'!$Z$52="Catastrófico"),CONCATENATE("R9C",'Mapa final'!$N$52),"")</f>
        <v/>
      </c>
      <c r="AN34" s="50"/>
      <c r="AO34" s="387"/>
      <c r="AP34" s="388"/>
      <c r="AQ34" s="388"/>
      <c r="AR34" s="388"/>
      <c r="AS34" s="388"/>
      <c r="AT34" s="389"/>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row>
    <row r="35" spans="1:80" ht="20.100000000000001" customHeight="1" thickBot="1" x14ac:dyDescent="0.35">
      <c r="A35" s="50"/>
      <c r="B35" s="257"/>
      <c r="C35" s="257"/>
      <c r="D35" s="258"/>
      <c r="E35" s="360"/>
      <c r="F35" s="361"/>
      <c r="G35" s="361"/>
      <c r="H35" s="361"/>
      <c r="I35" s="374"/>
      <c r="J35" s="114" t="str">
        <f>IF(AND('Mapa final'!$X$53="Media",'Mapa final'!$Z$53="Leve"),CONCATENATE("R10C",'Mapa final'!$N$53),"")</f>
        <v/>
      </c>
      <c r="K35" s="127" t="str">
        <f>IF(AND('Mapa final'!$X$54="Media",'Mapa final'!$Z$54="Leve"),CONCATENATE("R10C",'Mapa final'!$N$54),"")</f>
        <v/>
      </c>
      <c r="L35" s="127" t="str">
        <f>IF(AND('Mapa final'!$X$55="Media",'Mapa final'!$Z$55="Leve"),CONCATENATE("R10C",'Mapa final'!$N$55),"")</f>
        <v/>
      </c>
      <c r="M35" s="127" t="str">
        <f>IF(AND('Mapa final'!$X$56="Media",'Mapa final'!$Z$56="Leve"),CONCATENATE("R10C",'Mapa final'!$N$56),"")</f>
        <v/>
      </c>
      <c r="N35" s="127" t="str">
        <f>IF(AND('Mapa final'!$X$57="Media",'Mapa final'!$Z$57="Leve"),CONCATENATE("R10C",'Mapa final'!$N$57),"")</f>
        <v/>
      </c>
      <c r="O35" s="128" t="str">
        <f>IF(AND('Mapa final'!$X$58="Media",'Mapa final'!$Z$58="Leve"),CONCATENATE("R10C",'Mapa final'!$N$58),"")</f>
        <v/>
      </c>
      <c r="P35" s="114" t="str">
        <f>IF(AND('Mapa final'!$X$53="Media",'Mapa final'!$Z$53="Menor"),CONCATENATE("R10C",'Mapa final'!$N$53),"")</f>
        <v/>
      </c>
      <c r="Q35" s="127" t="str">
        <f>IF(AND('Mapa final'!$X$54="Media",'Mapa final'!$Z$54="Menor"),CONCATENATE("R10C",'Mapa final'!$N$54),"")</f>
        <v/>
      </c>
      <c r="R35" s="127" t="str">
        <f>IF(AND('Mapa final'!$X$55="Media",'Mapa final'!$Z$55="Menor"),CONCATENATE("R10C",'Mapa final'!$N$55),"")</f>
        <v/>
      </c>
      <c r="S35" s="127" t="str">
        <f>IF(AND('Mapa final'!$X$56="Media",'Mapa final'!$Z$56="Menor"),CONCATENATE("R10C",'Mapa final'!$N$56),"")</f>
        <v/>
      </c>
      <c r="T35" s="127" t="str">
        <f>IF(AND('Mapa final'!$X$57="Media",'Mapa final'!$Z$57="Menor"),CONCATENATE("R10C",'Mapa final'!$N$57),"")</f>
        <v/>
      </c>
      <c r="U35" s="128" t="str">
        <f>IF(AND('Mapa final'!$X$58="Media",'Mapa final'!$Z$58="Menor"),CONCATENATE("R10C",'Mapa final'!$N$58),"")</f>
        <v/>
      </c>
      <c r="V35" s="114" t="str">
        <f>IF(AND('Mapa final'!$X$53="Media",'Mapa final'!$Z$53="Moderado"),CONCATENATE("R10C",'Mapa final'!$N$53),"")</f>
        <v/>
      </c>
      <c r="W35" s="127" t="str">
        <f>IF(AND('Mapa final'!$X$54="Media",'Mapa final'!$Z$54="Moderado"),CONCATENATE("R10C",'Mapa final'!$N$54),"")</f>
        <v/>
      </c>
      <c r="X35" s="127" t="str">
        <f>IF(AND('Mapa final'!$X$55="Media",'Mapa final'!$Z$55="Moderado"),CONCATENATE("R10C",'Mapa final'!$N$55),"")</f>
        <v/>
      </c>
      <c r="Y35" s="127" t="str">
        <f>IF(AND('Mapa final'!$X$56="Media",'Mapa final'!$Z$56="Moderado"),CONCATENATE("R10C",'Mapa final'!$N$56),"")</f>
        <v/>
      </c>
      <c r="Z35" s="127" t="str">
        <f>IF(AND('Mapa final'!$X$57="Media",'Mapa final'!$Z$57="Moderado"),CONCATENATE("R10C",'Mapa final'!$N$57),"")</f>
        <v/>
      </c>
      <c r="AA35" s="128" t="str">
        <f>IF(AND('Mapa final'!$X$58="Media",'Mapa final'!$Z$58="Moderado"),CONCATENATE("R10C",'Mapa final'!$N$58),"")</f>
        <v/>
      </c>
      <c r="AB35" s="111" t="str">
        <f>IF(AND('Mapa final'!$X$53="Media",'Mapa final'!$Z$53="Mayor"),CONCATENATE("R10C",'Mapa final'!$N$53),"")</f>
        <v/>
      </c>
      <c r="AC35" s="112" t="str">
        <f>IF(AND('Mapa final'!$X$54="Media",'Mapa final'!$Z$54="Mayor"),CONCATENATE("R10C",'Mapa final'!$N$54),"")</f>
        <v/>
      </c>
      <c r="AD35" s="112" t="str">
        <f>IF(AND('Mapa final'!$X$55="Media",'Mapa final'!$Z$55="Mayor"),CONCATENATE("R10C",'Mapa final'!$N$55),"")</f>
        <v/>
      </c>
      <c r="AE35" s="112" t="str">
        <f>IF(AND('Mapa final'!$X$56="Media",'Mapa final'!$Z$56="Mayor"),CONCATENATE("R10C",'Mapa final'!$N$56),"")</f>
        <v/>
      </c>
      <c r="AF35" s="112" t="str">
        <f>IF(AND('Mapa final'!$X$57="Media",'Mapa final'!$Z$57="Mayor"),CONCATENATE("R10C",'Mapa final'!$N$57),"")</f>
        <v/>
      </c>
      <c r="AG35" s="113" t="str">
        <f>IF(AND('Mapa final'!$X$58="Media",'Mapa final'!$Z$58="Mayor"),CONCATENATE("R10C",'Mapa final'!$N$58),"")</f>
        <v/>
      </c>
      <c r="AH35" s="121" t="str">
        <f>IF(AND('Mapa final'!$X$53="Media",'Mapa final'!$Z$53="Catastrófico"),CONCATENATE("R10C",'Mapa final'!$N$53),"")</f>
        <v/>
      </c>
      <c r="AI35" s="122" t="str">
        <f>IF(AND('Mapa final'!$X$54="Media",'Mapa final'!$Z$54="Catastrófico"),CONCATENATE("R10C",'Mapa final'!$N$54),"")</f>
        <v/>
      </c>
      <c r="AJ35" s="122" t="str">
        <f>IF(AND('Mapa final'!$X$55="Media",'Mapa final'!$Z$55="Catastrófico"),CONCATENATE("R10C",'Mapa final'!$N$55),"")</f>
        <v/>
      </c>
      <c r="AK35" s="122" t="str">
        <f>IF(AND('Mapa final'!$X$56="Media",'Mapa final'!$Z$56="Catastrófico"),CONCATENATE("R10C",'Mapa final'!$N$56),"")</f>
        <v/>
      </c>
      <c r="AL35" s="122" t="str">
        <f>IF(AND('Mapa final'!$X$57="Media",'Mapa final'!$Z$57="Catastrófico"),CONCATENATE("R10C",'Mapa final'!$N$57),"")</f>
        <v/>
      </c>
      <c r="AM35" s="123" t="str">
        <f>IF(AND('Mapa final'!$X$58="Media",'Mapa final'!$Z$58="Catastrófico"),CONCATENATE("R10C",'Mapa final'!$N$58),"")</f>
        <v/>
      </c>
      <c r="AN35" s="50"/>
      <c r="AO35" s="390"/>
      <c r="AP35" s="391"/>
      <c r="AQ35" s="391"/>
      <c r="AR35" s="391"/>
      <c r="AS35" s="391"/>
      <c r="AT35" s="392"/>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row>
    <row r="36" spans="1:80" ht="20.100000000000001" customHeight="1" x14ac:dyDescent="0.3">
      <c r="A36" s="50"/>
      <c r="B36" s="257"/>
      <c r="C36" s="257"/>
      <c r="D36" s="258"/>
      <c r="E36" s="354" t="s">
        <v>112</v>
      </c>
      <c r="F36" s="355"/>
      <c r="G36" s="355"/>
      <c r="H36" s="355"/>
      <c r="I36" s="355"/>
      <c r="J36" s="132" t="str">
        <f>IF(AND('Mapa final'!$X$11="Baja",'Mapa final'!$Z$11="Leve"),CONCATENATE("R1C",'Mapa final'!$N$11),"")</f>
        <v/>
      </c>
      <c r="K36" s="133" t="str">
        <f>IF(AND('Mapa final'!$X$12="Baja",'Mapa final'!$Z$12="Leve"),CONCATENATE("R1C",'Mapa final'!$N$12),"")</f>
        <v/>
      </c>
      <c r="L36" s="133" t="str">
        <f>IF(AND('Mapa final'!$X$13="Baja",'Mapa final'!$Z$13="Leve"),CONCATENATE("R1C",'Mapa final'!$N$13),"")</f>
        <v/>
      </c>
      <c r="M36" s="133" t="str">
        <f>IF(AND('Mapa final'!$X$14="Baja",'Mapa final'!$Z$14="Leve"),CONCATENATE("R1C",'Mapa final'!$N$14),"")</f>
        <v/>
      </c>
      <c r="N36" s="133" t="str">
        <f>IF(AND('Mapa final'!$X$15="Baja",'Mapa final'!$Z$15="Leve"),CONCATENATE("R1C",'Mapa final'!$N$15),"")</f>
        <v/>
      </c>
      <c r="O36" s="134" t="str">
        <f>IF(AND('Mapa final'!$X$16="Baja",'Mapa final'!$Z$16="Leve"),CONCATENATE("R1C",'Mapa final'!$N$16),"")</f>
        <v/>
      </c>
      <c r="P36" s="124" t="str">
        <f>IF(AND('Mapa final'!$X$11="Baja",'Mapa final'!$Z$11="Menor"),CONCATENATE("R1C",'Mapa final'!$N$11),"")</f>
        <v/>
      </c>
      <c r="Q36" s="125" t="str">
        <f>IF(AND('Mapa final'!$X$12="Baja",'Mapa final'!$Z$12="Menor"),CONCATENATE("R1C",'Mapa final'!$N$12),"")</f>
        <v/>
      </c>
      <c r="R36" s="125" t="str">
        <f>IF(AND('Mapa final'!$X$13="Baja",'Mapa final'!$Z$13="Menor"),CONCATENATE("R1C",'Mapa final'!$N$13),"")</f>
        <v/>
      </c>
      <c r="S36" s="125" t="str">
        <f>IF(AND('Mapa final'!$X$14="Baja",'Mapa final'!$Z$14="Menor"),CONCATENATE("R1C",'Mapa final'!$N$14),"")</f>
        <v/>
      </c>
      <c r="T36" s="125" t="str">
        <f>IF(AND('Mapa final'!$X$15="Baja",'Mapa final'!$Z$15="Menor"),CONCATENATE("R1C",'Mapa final'!$N$15),"")</f>
        <v/>
      </c>
      <c r="U36" s="126" t="str">
        <f>IF(AND('Mapa final'!$X$16="Baja",'Mapa final'!$Z$16="Menor"),CONCATENATE("R1C",'Mapa final'!$N$16),"")</f>
        <v/>
      </c>
      <c r="V36" s="124" t="str">
        <f>IF(AND('Mapa final'!$X$11="Baja",'Mapa final'!$Z$11="Moderado"),CONCATENATE("R1C",'Mapa final'!$N$11),"")</f>
        <v/>
      </c>
      <c r="W36" s="125" t="str">
        <f>IF(AND('Mapa final'!$X$12="Baja",'Mapa final'!$Z$12="Moderado"),CONCATENATE("R1C",'Mapa final'!$N$12),"")</f>
        <v/>
      </c>
      <c r="X36" s="125" t="str">
        <f>IF(AND('Mapa final'!$X$13="Baja",'Mapa final'!$Z$13="Moderado"),CONCATENATE("R1C",'Mapa final'!$N$13),"")</f>
        <v/>
      </c>
      <c r="Y36" s="125" t="str">
        <f>IF(AND('Mapa final'!$X$14="Baja",'Mapa final'!$Z$14="Moderado"),CONCATENATE("R1C",'Mapa final'!$N$14),"")</f>
        <v/>
      </c>
      <c r="Z36" s="125" t="str">
        <f>IF(AND('Mapa final'!$X$15="Baja",'Mapa final'!$Z$15="Moderado"),CONCATENATE("R1C",'Mapa final'!$N$15),"")</f>
        <v/>
      </c>
      <c r="AA36" s="126" t="str">
        <f>IF(AND('Mapa final'!$X$16="Baja",'Mapa final'!$Z$16="Moderado"),CONCATENATE("R1C",'Mapa final'!$N$16),"")</f>
        <v/>
      </c>
      <c r="AB36" s="104" t="str">
        <f>IF(AND('Mapa final'!$X$11="Baja",'Mapa final'!$Z$11="Mayor"),CONCATENATE("R1C",'Mapa final'!$N$11),"")</f>
        <v>R1C1</v>
      </c>
      <c r="AC36" s="105" t="str">
        <f>IF(AND('Mapa final'!$X$12="Baja",'Mapa final'!$Z$12="Mayor"),CONCATENATE("R1C",'Mapa final'!$N$12),"")</f>
        <v/>
      </c>
      <c r="AD36" s="105" t="str">
        <f>IF(AND('Mapa final'!$X$13="Baja",'Mapa final'!$Z$13="Mayor"),CONCATENATE("R1C",'Mapa final'!$N$13),"")</f>
        <v/>
      </c>
      <c r="AE36" s="105" t="str">
        <f>IF(AND('Mapa final'!$X$14="Baja",'Mapa final'!$Z$14="Mayor"),CONCATENATE("R1C",'Mapa final'!$N$14),"")</f>
        <v/>
      </c>
      <c r="AF36" s="105" t="str">
        <f>IF(AND('Mapa final'!$X$15="Baja",'Mapa final'!$Z$15="Mayor"),CONCATENATE("R1C",'Mapa final'!$N$15),"")</f>
        <v/>
      </c>
      <c r="AG36" s="106" t="str">
        <f>IF(AND('Mapa final'!$X$16="Baja",'Mapa final'!$Z$16="Mayor"),CONCATENATE("R1C",'Mapa final'!$N$16),"")</f>
        <v/>
      </c>
      <c r="AH36" s="115" t="str">
        <f>IF(AND('Mapa final'!$X$11="Baja",'Mapa final'!$Z$11="Catastrófico"),CONCATENATE("R1C",'Mapa final'!$N$11),"")</f>
        <v/>
      </c>
      <c r="AI36" s="116" t="str">
        <f>IF(AND('Mapa final'!$X$12="Baja",'Mapa final'!$Z$12="Catastrófico"),CONCATENATE("R1C",'Mapa final'!$N$12),"")</f>
        <v/>
      </c>
      <c r="AJ36" s="116" t="str">
        <f>IF(AND('Mapa final'!$X$13="Baja",'Mapa final'!$Z$13="Catastrófico"),CONCATENATE("R1C",'Mapa final'!$N$13),"")</f>
        <v/>
      </c>
      <c r="AK36" s="116" t="str">
        <f>IF(AND('Mapa final'!$X$14="Baja",'Mapa final'!$Z$14="Catastrófico"),CONCATENATE("R1C",'Mapa final'!$N$14),"")</f>
        <v/>
      </c>
      <c r="AL36" s="116" t="str">
        <f>IF(AND('Mapa final'!$X$15="Baja",'Mapa final'!$Z$15="Catastrófico"),CONCATENATE("R1C",'Mapa final'!$N$15),"")</f>
        <v/>
      </c>
      <c r="AM36" s="117" t="str">
        <f>IF(AND('Mapa final'!$X$16="Baja",'Mapa final'!$Z$16="Catastrófico"),CONCATENATE("R1C",'Mapa final'!$N$16),"")</f>
        <v/>
      </c>
      <c r="AN36" s="50"/>
      <c r="AO36" s="375" t="s">
        <v>81</v>
      </c>
      <c r="AP36" s="376"/>
      <c r="AQ36" s="376"/>
      <c r="AR36" s="376"/>
      <c r="AS36" s="376"/>
      <c r="AT36" s="377"/>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row>
    <row r="37" spans="1:80" ht="20.100000000000001" customHeight="1" x14ac:dyDescent="0.3">
      <c r="A37" s="50"/>
      <c r="B37" s="257"/>
      <c r="C37" s="257"/>
      <c r="D37" s="258"/>
      <c r="E37" s="356"/>
      <c r="F37" s="357"/>
      <c r="G37" s="357"/>
      <c r="H37" s="357"/>
      <c r="I37" s="357"/>
      <c r="J37" s="135" t="str">
        <f>IF(AND('Mapa final'!$X$17="Baja",'Mapa final'!$Z$17="Leve"),CONCATENATE("R2C",'Mapa final'!$N$17),"")</f>
        <v/>
      </c>
      <c r="K37" s="136" t="str">
        <f>IF(AND('Mapa final'!$X$18="Baja",'Mapa final'!$Z$18="Leve"),CONCATENATE("R2C",'Mapa final'!$N$18),"")</f>
        <v/>
      </c>
      <c r="L37" s="136" t="str">
        <f>IF(AND('Mapa final'!$X$19="Baja",'Mapa final'!$Z$19="Leve"),CONCATENATE("R2C",'Mapa final'!$N$19),"")</f>
        <v/>
      </c>
      <c r="M37" s="136" t="str">
        <f>IF(AND('Mapa final'!$X$20="Baja",'Mapa final'!$Z$20="Leve"),CONCATENATE("R2C",'Mapa final'!$N$20),"")</f>
        <v/>
      </c>
      <c r="N37" s="136" t="str">
        <f>IF(AND('Mapa final'!$X$21="Baja",'Mapa final'!$Z$21="Leve"),CONCATENATE("R2C",'Mapa final'!$N$21),"")</f>
        <v/>
      </c>
      <c r="O37" s="137" t="str">
        <f>IF(AND('Mapa final'!$X$22="Baja",'Mapa final'!$Z$22="Leve"),CONCATENATE("R2C",'Mapa final'!$N$22),"")</f>
        <v/>
      </c>
      <c r="P37" s="114" t="str">
        <f>IF(AND('Mapa final'!$X$17="Baja",'Mapa final'!$Z$17="Menor"),CONCATENATE("R2C",'Mapa final'!$N$17),"")</f>
        <v/>
      </c>
      <c r="Q37" s="127" t="str">
        <f>IF(AND('Mapa final'!$X$18="Baja",'Mapa final'!$Z$18="Menor"),CONCATENATE("R2C",'Mapa final'!$N$18),"")</f>
        <v/>
      </c>
      <c r="R37" s="127" t="str">
        <f>IF(AND('Mapa final'!$X$19="Baja",'Mapa final'!$Z$19="Menor"),CONCATENATE("R2C",'Mapa final'!$N$19),"")</f>
        <v/>
      </c>
      <c r="S37" s="127" t="str">
        <f>IF(AND('Mapa final'!$X$20="Baja",'Mapa final'!$Z$20="Menor"),CONCATENATE("R2C",'Mapa final'!$N$20),"")</f>
        <v/>
      </c>
      <c r="T37" s="127" t="str">
        <f>IF(AND('Mapa final'!$X$21="Baja",'Mapa final'!$Z$21="Menor"),CONCATENATE("R2C",'Mapa final'!$N$21),"")</f>
        <v/>
      </c>
      <c r="U37" s="128" t="str">
        <f>IF(AND('Mapa final'!$X$22="Baja",'Mapa final'!$Z$22="Menor"),CONCATENATE("R2C",'Mapa final'!$N$22),"")</f>
        <v/>
      </c>
      <c r="V37" s="114" t="str">
        <f>IF(AND('Mapa final'!$X$17="Baja",'Mapa final'!$Z$17="Moderado"),CONCATENATE("R2C",'Mapa final'!$N$17),"")</f>
        <v/>
      </c>
      <c r="W37" s="127" t="str">
        <f>IF(AND('Mapa final'!$X$18="Baja",'Mapa final'!$Z$18="Moderado"),CONCATENATE("R2C",'Mapa final'!$N$18),"")</f>
        <v/>
      </c>
      <c r="X37" s="127" t="str">
        <f>IF(AND('Mapa final'!$X$19="Baja",'Mapa final'!$Z$19="Moderado"),CONCATENATE("R2C",'Mapa final'!$N$19),"")</f>
        <v/>
      </c>
      <c r="Y37" s="127" t="str">
        <f>IF(AND('Mapa final'!$X$20="Baja",'Mapa final'!$Z$20="Moderado"),CONCATENATE("R2C",'Mapa final'!$N$20),"")</f>
        <v/>
      </c>
      <c r="Z37" s="127" t="str">
        <f>IF(AND('Mapa final'!$X$21="Baja",'Mapa final'!$Z$21="Moderado"),CONCATENATE("R2C",'Mapa final'!$N$21),"")</f>
        <v/>
      </c>
      <c r="AA37" s="128" t="str">
        <f>IF(AND('Mapa final'!$X$22="Baja",'Mapa final'!$Z$22="Moderado"),CONCATENATE("R2C",'Mapa final'!$N$22),"")</f>
        <v/>
      </c>
      <c r="AB37" s="107" t="str">
        <f>IF(AND('Mapa final'!$X$17="Baja",'Mapa final'!$Z$17="Mayor"),CONCATENATE("R2C",'Mapa final'!$N$17),"")</f>
        <v>R2C1</v>
      </c>
      <c r="AC37" s="108" t="str">
        <f>IF(AND('Mapa final'!$X$18="Baja",'Mapa final'!$Z$18="Mayor"),CONCATENATE("R2C",'Mapa final'!$N$18),"")</f>
        <v>R2C2</v>
      </c>
      <c r="AD37" s="108" t="str">
        <f>IF(AND('Mapa final'!$X$19="Baja",'Mapa final'!$Z$19="Mayor"),CONCATENATE("R2C",'Mapa final'!$N$19),"")</f>
        <v/>
      </c>
      <c r="AE37" s="108" t="str">
        <f>IF(AND('Mapa final'!$X$20="Baja",'Mapa final'!$Z$20="Mayor"),CONCATENATE("R2C",'Mapa final'!$N$20),"")</f>
        <v/>
      </c>
      <c r="AF37" s="108" t="str">
        <f>IF(AND('Mapa final'!$X$21="Baja",'Mapa final'!$Z$21="Mayor"),CONCATENATE("R2C",'Mapa final'!$N$21),"")</f>
        <v/>
      </c>
      <c r="AG37" s="109" t="str">
        <f>IF(AND('Mapa final'!$X$22="Baja",'Mapa final'!$Z$22="Mayor"),CONCATENATE("R2C",'Mapa final'!$N$22),"")</f>
        <v/>
      </c>
      <c r="AH37" s="118" t="str">
        <f>IF(AND('Mapa final'!$X$17="Baja",'Mapa final'!$Z$17="Catastrófico"),CONCATENATE("R2C",'Mapa final'!$N$17),"")</f>
        <v/>
      </c>
      <c r="AI37" s="119" t="str">
        <f>IF(AND('Mapa final'!$X$18="Baja",'Mapa final'!$Z$18="Catastrófico"),CONCATENATE("R2C",'Mapa final'!$N$18),"")</f>
        <v/>
      </c>
      <c r="AJ37" s="119" t="str">
        <f>IF(AND('Mapa final'!$X$19="Baja",'Mapa final'!$Z$19="Catastrófico"),CONCATENATE("R2C",'Mapa final'!$N$19),"")</f>
        <v/>
      </c>
      <c r="AK37" s="119" t="str">
        <f>IF(AND('Mapa final'!$X$20="Baja",'Mapa final'!$Z$20="Catastrófico"),CONCATENATE("R2C",'Mapa final'!$N$20),"")</f>
        <v/>
      </c>
      <c r="AL37" s="119" t="str">
        <f>IF(AND('Mapa final'!$X$21="Baja",'Mapa final'!$Z$21="Catastrófico"),CONCATENATE("R2C",'Mapa final'!$N$21),"")</f>
        <v/>
      </c>
      <c r="AM37" s="120" t="str">
        <f>IF(AND('Mapa final'!$X$22="Baja",'Mapa final'!$Z$22="Catastrófico"),CONCATENATE("R2C",'Mapa final'!$N$22),"")</f>
        <v/>
      </c>
      <c r="AN37" s="50"/>
      <c r="AO37" s="378"/>
      <c r="AP37" s="379"/>
      <c r="AQ37" s="379"/>
      <c r="AR37" s="379"/>
      <c r="AS37" s="379"/>
      <c r="AT37" s="38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row>
    <row r="38" spans="1:80" ht="20.100000000000001" customHeight="1" x14ac:dyDescent="0.3">
      <c r="A38" s="50"/>
      <c r="B38" s="257"/>
      <c r="C38" s="257"/>
      <c r="D38" s="258"/>
      <c r="E38" s="358"/>
      <c r="F38" s="359"/>
      <c r="G38" s="359"/>
      <c r="H38" s="359"/>
      <c r="I38" s="357"/>
      <c r="J38" s="135" t="e">
        <f>IF(AND('Mapa final'!#REF!="Baja",'Mapa final'!#REF!="Leve"),CONCATENATE("R3C",'Mapa final'!#REF!),"")</f>
        <v>#REF!</v>
      </c>
      <c r="K38" s="136" t="e">
        <f>IF(AND('Mapa final'!#REF!="Baja",'Mapa final'!#REF!="Leve"),CONCATENATE("R3C",'Mapa final'!#REF!),"")</f>
        <v>#REF!</v>
      </c>
      <c r="L38" s="136" t="e">
        <f>IF(AND('Mapa final'!#REF!="Baja",'Mapa final'!#REF!="Leve"),CONCATENATE("R3C",'Mapa final'!#REF!),"")</f>
        <v>#REF!</v>
      </c>
      <c r="M38" s="136" t="e">
        <f>IF(AND('Mapa final'!#REF!="Baja",'Mapa final'!#REF!="Leve"),CONCATENATE("R3C",'Mapa final'!#REF!),"")</f>
        <v>#REF!</v>
      </c>
      <c r="N38" s="136" t="e">
        <f>IF(AND('Mapa final'!#REF!="Baja",'Mapa final'!#REF!="Leve"),CONCATENATE("R3C",'Mapa final'!#REF!),"")</f>
        <v>#REF!</v>
      </c>
      <c r="O38" s="137" t="e">
        <f>IF(AND('Mapa final'!#REF!="Baja",'Mapa final'!#REF!="Leve"),CONCATENATE("R3C",'Mapa final'!#REF!),"")</f>
        <v>#REF!</v>
      </c>
      <c r="P38" s="114" t="e">
        <f>IF(AND('Mapa final'!#REF!="Baja",'Mapa final'!#REF!="Menor"),CONCATENATE("R3C",'Mapa final'!#REF!),"")</f>
        <v>#REF!</v>
      </c>
      <c r="Q38" s="127" t="e">
        <f>IF(AND('Mapa final'!#REF!="Baja",'Mapa final'!#REF!="Menor"),CONCATENATE("R3C",'Mapa final'!#REF!),"")</f>
        <v>#REF!</v>
      </c>
      <c r="R38" s="127" t="e">
        <f>IF(AND('Mapa final'!#REF!="Baja",'Mapa final'!#REF!="Menor"),CONCATENATE("R3C",'Mapa final'!#REF!),"")</f>
        <v>#REF!</v>
      </c>
      <c r="S38" s="127" t="e">
        <f>IF(AND('Mapa final'!#REF!="Baja",'Mapa final'!#REF!="Menor"),CONCATENATE("R3C",'Mapa final'!#REF!),"")</f>
        <v>#REF!</v>
      </c>
      <c r="T38" s="127" t="e">
        <f>IF(AND('Mapa final'!#REF!="Baja",'Mapa final'!#REF!="Menor"),CONCATENATE("R3C",'Mapa final'!#REF!),"")</f>
        <v>#REF!</v>
      </c>
      <c r="U38" s="128" t="e">
        <f>IF(AND('Mapa final'!#REF!="Baja",'Mapa final'!#REF!="Menor"),CONCATENATE("R3C",'Mapa final'!#REF!),"")</f>
        <v>#REF!</v>
      </c>
      <c r="V38" s="114" t="e">
        <f>IF(AND('Mapa final'!#REF!="Baja",'Mapa final'!#REF!="Moderado"),CONCATENATE("R3C",'Mapa final'!#REF!),"")</f>
        <v>#REF!</v>
      </c>
      <c r="W38" s="127" t="e">
        <f>IF(AND('Mapa final'!#REF!="Baja",'Mapa final'!#REF!="Moderado"),CONCATENATE("R3C",'Mapa final'!#REF!),"")</f>
        <v>#REF!</v>
      </c>
      <c r="X38" s="127" t="e">
        <f>IF(AND('Mapa final'!#REF!="Baja",'Mapa final'!#REF!="Moderado"),CONCATENATE("R3C",'Mapa final'!#REF!),"")</f>
        <v>#REF!</v>
      </c>
      <c r="Y38" s="127" t="e">
        <f>IF(AND('Mapa final'!#REF!="Baja",'Mapa final'!#REF!="Moderado"),CONCATENATE("R3C",'Mapa final'!#REF!),"")</f>
        <v>#REF!</v>
      </c>
      <c r="Z38" s="127" t="e">
        <f>IF(AND('Mapa final'!#REF!="Baja",'Mapa final'!#REF!="Moderado"),CONCATENATE("R3C",'Mapa final'!#REF!),"")</f>
        <v>#REF!</v>
      </c>
      <c r="AA38" s="128" t="e">
        <f>IF(AND('Mapa final'!#REF!="Baja",'Mapa final'!#REF!="Moderado"),CONCATENATE("R3C",'Mapa final'!#REF!),"")</f>
        <v>#REF!</v>
      </c>
      <c r="AB38" s="107" t="e">
        <f>IF(AND('Mapa final'!#REF!="Baja",'Mapa final'!#REF!="Mayor"),CONCATENATE("R3C",'Mapa final'!#REF!),"")</f>
        <v>#REF!</v>
      </c>
      <c r="AC38" s="108" t="e">
        <f>IF(AND('Mapa final'!#REF!="Baja",'Mapa final'!#REF!="Mayor"),CONCATENATE("R3C",'Mapa final'!#REF!),"")</f>
        <v>#REF!</v>
      </c>
      <c r="AD38" s="108" t="e">
        <f>IF(AND('Mapa final'!#REF!="Baja",'Mapa final'!#REF!="Mayor"),CONCATENATE("R3C",'Mapa final'!#REF!),"")</f>
        <v>#REF!</v>
      </c>
      <c r="AE38" s="108" t="e">
        <f>IF(AND('Mapa final'!#REF!="Baja",'Mapa final'!#REF!="Mayor"),CONCATENATE("R3C",'Mapa final'!#REF!),"")</f>
        <v>#REF!</v>
      </c>
      <c r="AF38" s="108" t="e">
        <f>IF(AND('Mapa final'!#REF!="Baja",'Mapa final'!#REF!="Mayor"),CONCATENATE("R3C",'Mapa final'!#REF!),"")</f>
        <v>#REF!</v>
      </c>
      <c r="AG38" s="109" t="e">
        <f>IF(AND('Mapa final'!#REF!="Baja",'Mapa final'!#REF!="Mayor"),CONCATENATE("R3C",'Mapa final'!#REF!),"")</f>
        <v>#REF!</v>
      </c>
      <c r="AH38" s="118" t="e">
        <f>IF(AND('Mapa final'!#REF!="Baja",'Mapa final'!#REF!="Catastrófico"),CONCATENATE("R3C",'Mapa final'!#REF!),"")</f>
        <v>#REF!</v>
      </c>
      <c r="AI38" s="119" t="e">
        <f>IF(AND('Mapa final'!#REF!="Baja",'Mapa final'!#REF!="Catastrófico"),CONCATENATE("R3C",'Mapa final'!#REF!),"")</f>
        <v>#REF!</v>
      </c>
      <c r="AJ38" s="119" t="e">
        <f>IF(AND('Mapa final'!#REF!="Baja",'Mapa final'!#REF!="Catastrófico"),CONCATENATE("R3C",'Mapa final'!#REF!),"")</f>
        <v>#REF!</v>
      </c>
      <c r="AK38" s="119" t="e">
        <f>IF(AND('Mapa final'!#REF!="Baja",'Mapa final'!#REF!="Catastrófico"),CONCATENATE("R3C",'Mapa final'!#REF!),"")</f>
        <v>#REF!</v>
      </c>
      <c r="AL38" s="119" t="e">
        <f>IF(AND('Mapa final'!#REF!="Baja",'Mapa final'!#REF!="Catastrófico"),CONCATENATE("R3C",'Mapa final'!#REF!),"")</f>
        <v>#REF!</v>
      </c>
      <c r="AM38" s="120" t="e">
        <f>IF(AND('Mapa final'!#REF!="Baja",'Mapa final'!#REF!="Catastrófico"),CONCATENATE("R3C",'Mapa final'!#REF!),"")</f>
        <v>#REF!</v>
      </c>
      <c r="AN38" s="50"/>
      <c r="AO38" s="378"/>
      <c r="AP38" s="379"/>
      <c r="AQ38" s="379"/>
      <c r="AR38" s="379"/>
      <c r="AS38" s="379"/>
      <c r="AT38" s="38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row>
    <row r="39" spans="1:80" ht="20.100000000000001" customHeight="1" x14ac:dyDescent="0.3">
      <c r="A39" s="50"/>
      <c r="B39" s="257"/>
      <c r="C39" s="257"/>
      <c r="D39" s="258"/>
      <c r="E39" s="358"/>
      <c r="F39" s="359"/>
      <c r="G39" s="359"/>
      <c r="H39" s="359"/>
      <c r="I39" s="357"/>
      <c r="J39" s="135" t="e">
        <f>IF(AND('Mapa final'!#REF!="Baja",'Mapa final'!#REF!="Leve"),CONCATENATE("R4C",'Mapa final'!#REF!),"")</f>
        <v>#REF!</v>
      </c>
      <c r="K39" s="136" t="e">
        <f>IF(AND('Mapa final'!#REF!="Baja",'Mapa final'!#REF!="Leve"),CONCATENATE("R4C",'Mapa final'!#REF!),"")</f>
        <v>#REF!</v>
      </c>
      <c r="L39" s="136" t="e">
        <f>IF(AND('Mapa final'!#REF!="Baja",'Mapa final'!#REF!="Leve"),CONCATENATE("R4C",'Mapa final'!#REF!),"")</f>
        <v>#REF!</v>
      </c>
      <c r="M39" s="136" t="e">
        <f>IF(AND('Mapa final'!#REF!="Baja",'Mapa final'!#REF!="Leve"),CONCATENATE("R4C",'Mapa final'!#REF!),"")</f>
        <v>#REF!</v>
      </c>
      <c r="N39" s="136" t="e">
        <f>IF(AND('Mapa final'!#REF!="Baja",'Mapa final'!#REF!="Leve"),CONCATENATE("R4C",'Mapa final'!#REF!),"")</f>
        <v>#REF!</v>
      </c>
      <c r="O39" s="137" t="e">
        <f>IF(AND('Mapa final'!#REF!="Baja",'Mapa final'!#REF!="Leve"),CONCATENATE("R4C",'Mapa final'!#REF!),"")</f>
        <v>#REF!</v>
      </c>
      <c r="P39" s="114" t="e">
        <f>IF(AND('Mapa final'!#REF!="Baja",'Mapa final'!#REF!="Menor"),CONCATENATE("R4C",'Mapa final'!#REF!),"")</f>
        <v>#REF!</v>
      </c>
      <c r="Q39" s="127" t="e">
        <f>IF(AND('Mapa final'!#REF!="Baja",'Mapa final'!#REF!="Menor"),CONCATENATE("R4C",'Mapa final'!#REF!),"")</f>
        <v>#REF!</v>
      </c>
      <c r="R39" s="127" t="e">
        <f>IF(AND('Mapa final'!#REF!="Baja",'Mapa final'!#REF!="Menor"),CONCATENATE("R4C",'Mapa final'!#REF!),"")</f>
        <v>#REF!</v>
      </c>
      <c r="S39" s="127" t="e">
        <f>IF(AND('Mapa final'!#REF!="Baja",'Mapa final'!#REF!="Menor"),CONCATENATE("R4C",'Mapa final'!#REF!),"")</f>
        <v>#REF!</v>
      </c>
      <c r="T39" s="127" t="e">
        <f>IF(AND('Mapa final'!#REF!="Baja",'Mapa final'!#REF!="Menor"),CONCATENATE("R4C",'Mapa final'!#REF!),"")</f>
        <v>#REF!</v>
      </c>
      <c r="U39" s="128" t="e">
        <f>IF(AND('Mapa final'!#REF!="Baja",'Mapa final'!#REF!="Menor"),CONCATENATE("R4C",'Mapa final'!#REF!),"")</f>
        <v>#REF!</v>
      </c>
      <c r="V39" s="114" t="e">
        <f>IF(AND('Mapa final'!#REF!="Baja",'Mapa final'!#REF!="Moderado"),CONCATENATE("R4C",'Mapa final'!#REF!),"")</f>
        <v>#REF!</v>
      </c>
      <c r="W39" s="127" t="e">
        <f>IF(AND('Mapa final'!#REF!="Baja",'Mapa final'!#REF!="Moderado"),CONCATENATE("R4C",'Mapa final'!#REF!),"")</f>
        <v>#REF!</v>
      </c>
      <c r="X39" s="127" t="e">
        <f>IF(AND('Mapa final'!#REF!="Baja",'Mapa final'!#REF!="Moderado"),CONCATENATE("R4C",'Mapa final'!#REF!),"")</f>
        <v>#REF!</v>
      </c>
      <c r="Y39" s="127" t="e">
        <f>IF(AND('Mapa final'!#REF!="Baja",'Mapa final'!#REF!="Moderado"),CONCATENATE("R4C",'Mapa final'!#REF!),"")</f>
        <v>#REF!</v>
      </c>
      <c r="Z39" s="127" t="e">
        <f>IF(AND('Mapa final'!#REF!="Baja",'Mapa final'!#REF!="Moderado"),CONCATENATE("R4C",'Mapa final'!#REF!),"")</f>
        <v>#REF!</v>
      </c>
      <c r="AA39" s="128" t="e">
        <f>IF(AND('Mapa final'!#REF!="Baja",'Mapa final'!#REF!="Moderado"),CONCATENATE("R4C",'Mapa final'!#REF!),"")</f>
        <v>#REF!</v>
      </c>
      <c r="AB39" s="107" t="e">
        <f>IF(AND('Mapa final'!#REF!="Baja",'Mapa final'!#REF!="Mayor"),CONCATENATE("R4C",'Mapa final'!#REF!),"")</f>
        <v>#REF!</v>
      </c>
      <c r="AC39" s="108" t="e">
        <f>IF(AND('Mapa final'!#REF!="Baja",'Mapa final'!#REF!="Mayor"),CONCATENATE("R4C",'Mapa final'!#REF!),"")</f>
        <v>#REF!</v>
      </c>
      <c r="AD39" s="108" t="e">
        <f>IF(AND('Mapa final'!#REF!="Baja",'Mapa final'!#REF!="Mayor"),CONCATENATE("R4C",'Mapa final'!#REF!),"")</f>
        <v>#REF!</v>
      </c>
      <c r="AE39" s="108" t="e">
        <f>IF(AND('Mapa final'!#REF!="Baja",'Mapa final'!#REF!="Mayor"),CONCATENATE("R4C",'Mapa final'!#REF!),"")</f>
        <v>#REF!</v>
      </c>
      <c r="AF39" s="108" t="e">
        <f>IF(AND('Mapa final'!#REF!="Baja",'Mapa final'!#REF!="Mayor"),CONCATENATE("R4C",'Mapa final'!#REF!),"")</f>
        <v>#REF!</v>
      </c>
      <c r="AG39" s="109" t="e">
        <f>IF(AND('Mapa final'!#REF!="Baja",'Mapa final'!#REF!="Mayor"),CONCATENATE("R4C",'Mapa final'!#REF!),"")</f>
        <v>#REF!</v>
      </c>
      <c r="AH39" s="118" t="e">
        <f>IF(AND('Mapa final'!#REF!="Baja",'Mapa final'!#REF!="Catastrófico"),CONCATENATE("R4C",'Mapa final'!#REF!),"")</f>
        <v>#REF!</v>
      </c>
      <c r="AI39" s="119" t="e">
        <f>IF(AND('Mapa final'!#REF!="Baja",'Mapa final'!#REF!="Catastrófico"),CONCATENATE("R4C",'Mapa final'!#REF!),"")</f>
        <v>#REF!</v>
      </c>
      <c r="AJ39" s="119" t="e">
        <f>IF(AND('Mapa final'!#REF!="Baja",'Mapa final'!#REF!="Catastrófico"),CONCATENATE("R4C",'Mapa final'!#REF!),"")</f>
        <v>#REF!</v>
      </c>
      <c r="AK39" s="119" t="e">
        <f>IF(AND('Mapa final'!#REF!="Baja",'Mapa final'!#REF!="Catastrófico"),CONCATENATE("R4C",'Mapa final'!#REF!),"")</f>
        <v>#REF!</v>
      </c>
      <c r="AL39" s="119" t="e">
        <f>IF(AND('Mapa final'!#REF!="Baja",'Mapa final'!#REF!="Catastrófico"),CONCATENATE("R4C",'Mapa final'!#REF!),"")</f>
        <v>#REF!</v>
      </c>
      <c r="AM39" s="120" t="e">
        <f>IF(AND('Mapa final'!#REF!="Baja",'Mapa final'!#REF!="Catastrófico"),CONCATENATE("R4C",'Mapa final'!#REF!),"")</f>
        <v>#REF!</v>
      </c>
      <c r="AN39" s="50"/>
      <c r="AO39" s="378"/>
      <c r="AP39" s="379"/>
      <c r="AQ39" s="379"/>
      <c r="AR39" s="379"/>
      <c r="AS39" s="379"/>
      <c r="AT39" s="38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row>
    <row r="40" spans="1:80" ht="20.100000000000001" customHeight="1" x14ac:dyDescent="0.3">
      <c r="A40" s="50"/>
      <c r="B40" s="257"/>
      <c r="C40" s="257"/>
      <c r="D40" s="258"/>
      <c r="E40" s="358"/>
      <c r="F40" s="359"/>
      <c r="G40" s="359"/>
      <c r="H40" s="359"/>
      <c r="I40" s="357"/>
      <c r="J40" s="135" t="str">
        <f>IF(AND('Mapa final'!$X$23="Baja",'Mapa final'!$Z$23="Leve"),CONCATENATE("R5C",'Mapa final'!$N$23),"")</f>
        <v/>
      </c>
      <c r="K40" s="136" t="str">
        <f>IF(AND('Mapa final'!$X$24="Baja",'Mapa final'!$Z$24="Leve"),CONCATENATE("R5C",'Mapa final'!$N$24),"")</f>
        <v/>
      </c>
      <c r="L40" s="136" t="str">
        <f>IF(AND('Mapa final'!$X$25="Baja",'Mapa final'!$Z$25="Leve"),CONCATENATE("R5C",'Mapa final'!$N$25),"")</f>
        <v/>
      </c>
      <c r="M40" s="136" t="str">
        <f>IF(AND('Mapa final'!$X$26="Baja",'Mapa final'!$Z$26="Leve"),CONCATENATE("R5C",'Mapa final'!$N$26),"")</f>
        <v/>
      </c>
      <c r="N40" s="136" t="str">
        <f>IF(AND('Mapa final'!$X$27="Baja",'Mapa final'!$Z$27="Leve"),CONCATENATE("R5C",'Mapa final'!$N$27),"")</f>
        <v/>
      </c>
      <c r="O40" s="137" t="str">
        <f>IF(AND('Mapa final'!$X$28="Baja",'Mapa final'!$Z$28="Leve"),CONCATENATE("R5C",'Mapa final'!$N$28),"")</f>
        <v/>
      </c>
      <c r="P40" s="114" t="str">
        <f>IF(AND('Mapa final'!$X$23="Baja",'Mapa final'!$Z$23="Menor"),CONCATENATE("R5C",'Mapa final'!$N$23),"")</f>
        <v/>
      </c>
      <c r="Q40" s="127" t="str">
        <f>IF(AND('Mapa final'!$X$24="Baja",'Mapa final'!$Z$24="Menor"),CONCATENATE("R5C",'Mapa final'!$N$24),"")</f>
        <v/>
      </c>
      <c r="R40" s="127" t="str">
        <f>IF(AND('Mapa final'!$X$25="Baja",'Mapa final'!$Z$25="Menor"),CONCATENATE("R5C",'Mapa final'!$N$25),"")</f>
        <v/>
      </c>
      <c r="S40" s="127" t="str">
        <f>IF(AND('Mapa final'!$X$26="Baja",'Mapa final'!$Z$26="Menor"),CONCATENATE("R5C",'Mapa final'!$N$26),"")</f>
        <v/>
      </c>
      <c r="T40" s="127" t="str">
        <f>IF(AND('Mapa final'!$X$27="Baja",'Mapa final'!$Z$27="Menor"),CONCATENATE("R5C",'Mapa final'!$N$27),"")</f>
        <v/>
      </c>
      <c r="U40" s="128" t="str">
        <f>IF(AND('Mapa final'!$X$28="Baja",'Mapa final'!$Z$28="Menor"),CONCATENATE("R5C",'Mapa final'!$N$28),"")</f>
        <v/>
      </c>
      <c r="V40" s="114" t="str">
        <f>IF(AND('Mapa final'!$X$23="Baja",'Mapa final'!$Z$23="Moderado"),CONCATENATE("R5C",'Mapa final'!$N$23),"")</f>
        <v/>
      </c>
      <c r="W40" s="127" t="str">
        <f>IF(AND('Mapa final'!$X$24="Baja",'Mapa final'!$Z$24="Moderado"),CONCATENATE("R5C",'Mapa final'!$N$24),"")</f>
        <v/>
      </c>
      <c r="X40" s="127" t="str">
        <f>IF(AND('Mapa final'!$X$25="Baja",'Mapa final'!$Z$25="Moderado"),CONCATENATE("R5C",'Mapa final'!$N$25),"")</f>
        <v/>
      </c>
      <c r="Y40" s="127" t="str">
        <f>IF(AND('Mapa final'!$X$26="Baja",'Mapa final'!$Z$26="Moderado"),CONCATENATE("R5C",'Mapa final'!$N$26),"")</f>
        <v/>
      </c>
      <c r="Z40" s="127" t="str">
        <f>IF(AND('Mapa final'!$X$27="Baja",'Mapa final'!$Z$27="Moderado"),CONCATENATE("R5C",'Mapa final'!$N$27),"")</f>
        <v/>
      </c>
      <c r="AA40" s="128" t="str">
        <f>IF(AND('Mapa final'!$X$28="Baja",'Mapa final'!$Z$28="Moderado"),CONCATENATE("R5C",'Mapa final'!$N$28),"")</f>
        <v/>
      </c>
      <c r="AB40" s="107" t="str">
        <f>IF(AND('Mapa final'!$X$23="Baja",'Mapa final'!$Z$23="Mayor"),CONCATENATE("R5C",'Mapa final'!$N$23),"")</f>
        <v>R5C1</v>
      </c>
      <c r="AC40" s="108" t="str">
        <f>IF(AND('Mapa final'!$X$24="Baja",'Mapa final'!$Z$24="Mayor"),CONCATENATE("R5C",'Mapa final'!$N$24),"")</f>
        <v>R5C2</v>
      </c>
      <c r="AD40" s="110" t="str">
        <f>IF(AND('Mapa final'!$X$25="Baja",'Mapa final'!$Z$25="Mayor"),CONCATENATE("R5C",'Mapa final'!$N$25),"")</f>
        <v/>
      </c>
      <c r="AE40" s="110" t="str">
        <f>IF(AND('Mapa final'!$X$26="Baja",'Mapa final'!$Z$26="Mayor"),CONCATENATE("R5C",'Mapa final'!$N$26),"")</f>
        <v/>
      </c>
      <c r="AF40" s="110" t="str">
        <f>IF(AND('Mapa final'!$X$27="Baja",'Mapa final'!$Z$27="Mayor"),CONCATENATE("R5C",'Mapa final'!$N$27),"")</f>
        <v/>
      </c>
      <c r="AG40" s="109" t="str">
        <f>IF(AND('Mapa final'!$X$28="Baja",'Mapa final'!$Z$28="Mayor"),CONCATENATE("R5C",'Mapa final'!$N$28),"")</f>
        <v/>
      </c>
      <c r="AH40" s="118" t="str">
        <f>IF(AND('Mapa final'!$X$23="Baja",'Mapa final'!$Z$23="Catastrófico"),CONCATENATE("R5C",'Mapa final'!$N$23),"")</f>
        <v/>
      </c>
      <c r="AI40" s="119" t="str">
        <f>IF(AND('Mapa final'!$X$24="Baja",'Mapa final'!$Z$24="Catastrófico"),CONCATENATE("R5C",'Mapa final'!$N$24),"")</f>
        <v/>
      </c>
      <c r="AJ40" s="119" t="str">
        <f>IF(AND('Mapa final'!$X$25="Baja",'Mapa final'!$Z$25="Catastrófico"),CONCATENATE("R5C",'Mapa final'!$N$25),"")</f>
        <v/>
      </c>
      <c r="AK40" s="119" t="str">
        <f>IF(AND('Mapa final'!$X$26="Baja",'Mapa final'!$Z$26="Catastrófico"),CONCATENATE("R5C",'Mapa final'!$N$26),"")</f>
        <v/>
      </c>
      <c r="AL40" s="119" t="str">
        <f>IF(AND('Mapa final'!$X$27="Baja",'Mapa final'!$Z$27="Catastrófico"),CONCATENATE("R5C",'Mapa final'!$N$27),"")</f>
        <v/>
      </c>
      <c r="AM40" s="120" t="str">
        <f>IF(AND('Mapa final'!$X$28="Baja",'Mapa final'!$Z$28="Catastrófico"),CONCATENATE("R5C",'Mapa final'!$N$28),"")</f>
        <v/>
      </c>
      <c r="AN40" s="50"/>
      <c r="AO40" s="378"/>
      <c r="AP40" s="379"/>
      <c r="AQ40" s="379"/>
      <c r="AR40" s="379"/>
      <c r="AS40" s="379"/>
      <c r="AT40" s="38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row>
    <row r="41" spans="1:80" ht="20.100000000000001" customHeight="1" x14ac:dyDescent="0.3">
      <c r="A41" s="50"/>
      <c r="B41" s="257"/>
      <c r="C41" s="257"/>
      <c r="D41" s="258"/>
      <c r="E41" s="358"/>
      <c r="F41" s="359"/>
      <c r="G41" s="359"/>
      <c r="H41" s="359"/>
      <c r="I41" s="357"/>
      <c r="J41" s="135" t="str">
        <f>IF(AND('Mapa final'!$X$29="Baja",'Mapa final'!$Z$29="Leve"),CONCATENATE("R6C",'Mapa final'!$N$29),"")</f>
        <v/>
      </c>
      <c r="K41" s="136" t="str">
        <f>IF(AND('Mapa final'!$X$30="Baja",'Mapa final'!$Z$30="Leve"),CONCATENATE("R6C",'Mapa final'!$N$30),"")</f>
        <v/>
      </c>
      <c r="L41" s="136" t="str">
        <f>IF(AND('Mapa final'!$X$31="Baja",'Mapa final'!$Z$31="Leve"),CONCATENATE("R6C",'Mapa final'!$N$31),"")</f>
        <v/>
      </c>
      <c r="M41" s="136" t="str">
        <f>IF(AND('Mapa final'!$X$32="Baja",'Mapa final'!$Z$32="Leve"),CONCATENATE("R6C",'Mapa final'!$N$32),"")</f>
        <v/>
      </c>
      <c r="N41" s="136" t="str">
        <f>IF(AND('Mapa final'!$X$33="Baja",'Mapa final'!$Z$33="Leve"),CONCATENATE("R6C",'Mapa final'!$N$33),"")</f>
        <v/>
      </c>
      <c r="O41" s="137" t="str">
        <f>IF(AND('Mapa final'!$X$34="Baja",'Mapa final'!$Z$34="Leve"),CONCATENATE("R6C",'Mapa final'!$N$34),"")</f>
        <v/>
      </c>
      <c r="P41" s="114" t="str">
        <f>IF(AND('Mapa final'!$X$29="Baja",'Mapa final'!$Z$29="Menor"),CONCATENATE("R6C",'Mapa final'!$N$29),"")</f>
        <v/>
      </c>
      <c r="Q41" s="127" t="str">
        <f>IF(AND('Mapa final'!$X$30="Baja",'Mapa final'!$Z$30="Menor"),CONCATENATE("R6C",'Mapa final'!$N$30),"")</f>
        <v/>
      </c>
      <c r="R41" s="127" t="str">
        <f>IF(AND('Mapa final'!$X$31="Baja",'Mapa final'!$Z$31="Menor"),CONCATENATE("R6C",'Mapa final'!$N$31),"")</f>
        <v/>
      </c>
      <c r="S41" s="127" t="str">
        <f>IF(AND('Mapa final'!$X$32="Baja",'Mapa final'!$Z$32="Menor"),CONCATENATE("R6C",'Mapa final'!$N$32),"")</f>
        <v/>
      </c>
      <c r="T41" s="127" t="str">
        <f>IF(AND('Mapa final'!$X$33="Baja",'Mapa final'!$Z$33="Menor"),CONCATENATE("R6C",'Mapa final'!$N$33),"")</f>
        <v/>
      </c>
      <c r="U41" s="128" t="str">
        <f>IF(AND('Mapa final'!$X$34="Baja",'Mapa final'!$Z$34="Menor"),CONCATENATE("R6C",'Mapa final'!$N$34),"")</f>
        <v/>
      </c>
      <c r="V41" s="114" t="str">
        <f>IF(AND('Mapa final'!$X$29="Baja",'Mapa final'!$Z$29="Moderado"),CONCATENATE("R6C",'Mapa final'!$N$29),"")</f>
        <v/>
      </c>
      <c r="W41" s="127" t="str">
        <f>IF(AND('Mapa final'!$X$30="Baja",'Mapa final'!$Z$30="Moderado"),CONCATENATE("R6C",'Mapa final'!$N$30),"")</f>
        <v/>
      </c>
      <c r="X41" s="127" t="str">
        <f>IF(AND('Mapa final'!$X$31="Baja",'Mapa final'!$Z$31="Moderado"),CONCATENATE("R6C",'Mapa final'!$N$31),"")</f>
        <v/>
      </c>
      <c r="Y41" s="127" t="str">
        <f>IF(AND('Mapa final'!$X$32="Baja",'Mapa final'!$Z$32="Moderado"),CONCATENATE("R6C",'Mapa final'!$N$32),"")</f>
        <v/>
      </c>
      <c r="Z41" s="127" t="str">
        <f>IF(AND('Mapa final'!$X$33="Baja",'Mapa final'!$Z$33="Moderado"),CONCATENATE("R6C",'Mapa final'!$N$33),"")</f>
        <v/>
      </c>
      <c r="AA41" s="128" t="str">
        <f>IF(AND('Mapa final'!$X$34="Baja",'Mapa final'!$Z$34="Moderado"),CONCATENATE("R6C",'Mapa final'!$N$34),"")</f>
        <v/>
      </c>
      <c r="AB41" s="107" t="str">
        <f>IF(AND('Mapa final'!$X$29="Baja",'Mapa final'!$Z$29="Mayor"),CONCATENATE("R6C",'Mapa final'!$N$29),"")</f>
        <v>R6C1</v>
      </c>
      <c r="AC41" s="108" t="str">
        <f>IF(AND('Mapa final'!$X$30="Baja",'Mapa final'!$Z$30="Mayor"),CONCATENATE("R6C",'Mapa final'!$N$30),"")</f>
        <v>R6C2</v>
      </c>
      <c r="AD41" s="110" t="str">
        <f>IF(AND('Mapa final'!$X$31="Baja",'Mapa final'!$Z$31="Mayor"),CONCATENATE("R6C",'Mapa final'!$N$31),"")</f>
        <v/>
      </c>
      <c r="AE41" s="110" t="str">
        <f>IF(AND('Mapa final'!$X$32="Baja",'Mapa final'!$Z$32="Mayor"),CONCATENATE("R6C",'Mapa final'!$N$32),"")</f>
        <v/>
      </c>
      <c r="AF41" s="110" t="str">
        <f>IF(AND('Mapa final'!$X$33="Baja",'Mapa final'!$Z$33="Mayor"),CONCATENATE("R6C",'Mapa final'!$N$33),"")</f>
        <v/>
      </c>
      <c r="AG41" s="109" t="str">
        <f>IF(AND('Mapa final'!$X$34="Baja",'Mapa final'!$Z$34="Mayor"),CONCATENATE("R6C",'Mapa final'!$N$34),"")</f>
        <v/>
      </c>
      <c r="AH41" s="118" t="str">
        <f>IF(AND('Mapa final'!$X$29="Baja",'Mapa final'!$Z$29="Catastrófico"),CONCATENATE("R6C",'Mapa final'!$N$29),"")</f>
        <v/>
      </c>
      <c r="AI41" s="119" t="str">
        <f>IF(AND('Mapa final'!$X$30="Baja",'Mapa final'!$Z$30="Catastrófico"),CONCATENATE("R6C",'Mapa final'!$N$30),"")</f>
        <v/>
      </c>
      <c r="AJ41" s="119" t="str">
        <f>IF(AND('Mapa final'!$X$31="Baja",'Mapa final'!$Z$31="Catastrófico"),CONCATENATE("R6C",'Mapa final'!$N$31),"")</f>
        <v/>
      </c>
      <c r="AK41" s="119" t="str">
        <f>IF(AND('Mapa final'!$X$32="Baja",'Mapa final'!$Z$32="Catastrófico"),CONCATENATE("R6C",'Mapa final'!$N$32),"")</f>
        <v/>
      </c>
      <c r="AL41" s="119" t="str">
        <f>IF(AND('Mapa final'!$X$33="Baja",'Mapa final'!$Z$33="Catastrófico"),CONCATENATE("R6C",'Mapa final'!$N$33),"")</f>
        <v/>
      </c>
      <c r="AM41" s="120" t="str">
        <f>IF(AND('Mapa final'!$X$34="Baja",'Mapa final'!$Z$34="Catastrófico"),CONCATENATE("R6C",'Mapa final'!$N$34),"")</f>
        <v/>
      </c>
      <c r="AN41" s="50"/>
      <c r="AO41" s="378"/>
      <c r="AP41" s="379"/>
      <c r="AQ41" s="379"/>
      <c r="AR41" s="379"/>
      <c r="AS41" s="379"/>
      <c r="AT41" s="38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row>
    <row r="42" spans="1:80" ht="20.100000000000001" customHeight="1" x14ac:dyDescent="0.3">
      <c r="A42" s="50"/>
      <c r="B42" s="257"/>
      <c r="C42" s="257"/>
      <c r="D42" s="258"/>
      <c r="E42" s="358"/>
      <c r="F42" s="359"/>
      <c r="G42" s="359"/>
      <c r="H42" s="359"/>
      <c r="I42" s="357"/>
      <c r="J42" s="135" t="str">
        <f>IF(AND('Mapa final'!$X$35="Baja",'Mapa final'!$Z$35="Leve"),CONCATENATE("R7C",'Mapa final'!$N$35),"")</f>
        <v/>
      </c>
      <c r="K42" s="136" t="str">
        <f>IF(AND('Mapa final'!$X$36="Baja",'Mapa final'!$Z$36="Leve"),CONCATENATE("R7C",'Mapa final'!$N$36),"")</f>
        <v/>
      </c>
      <c r="L42" s="136" t="str">
        <f>IF(AND('Mapa final'!$X$37="Baja",'Mapa final'!$Z$37="Leve"),CONCATENATE("R7C",'Mapa final'!$N$37),"")</f>
        <v/>
      </c>
      <c r="M42" s="136" t="str">
        <f>IF(AND('Mapa final'!$X$38="Baja",'Mapa final'!$Z$38="Leve"),CONCATENATE("R7C",'Mapa final'!$N$38),"")</f>
        <v/>
      </c>
      <c r="N42" s="136" t="str">
        <f>IF(AND('Mapa final'!$X$39="Baja",'Mapa final'!$Z$39="Leve"),CONCATENATE("R7C",'Mapa final'!$N$39),"")</f>
        <v/>
      </c>
      <c r="O42" s="137" t="str">
        <f>IF(AND('Mapa final'!$X$40="Baja",'Mapa final'!$Z$40="Leve"),CONCATENATE("R7C",'Mapa final'!$N$40),"")</f>
        <v/>
      </c>
      <c r="P42" s="114" t="str">
        <f>IF(AND('Mapa final'!$X$35="Baja",'Mapa final'!$Z$35="Menor"),CONCATENATE("R7C",'Mapa final'!$N$35),"")</f>
        <v/>
      </c>
      <c r="Q42" s="127" t="str">
        <f>IF(AND('Mapa final'!$X$36="Baja",'Mapa final'!$Z$36="Menor"),CONCATENATE("R7C",'Mapa final'!$N$36),"")</f>
        <v/>
      </c>
      <c r="R42" s="127" t="str">
        <f>IF(AND('Mapa final'!$X$37="Baja",'Mapa final'!$Z$37="Menor"),CONCATENATE("R7C",'Mapa final'!$N$37),"")</f>
        <v/>
      </c>
      <c r="S42" s="127" t="str">
        <f>IF(AND('Mapa final'!$X$38="Baja",'Mapa final'!$Z$38="Menor"),CONCATENATE("R7C",'Mapa final'!$N$38),"")</f>
        <v/>
      </c>
      <c r="T42" s="127" t="str">
        <f>IF(AND('Mapa final'!$X$39="Baja",'Mapa final'!$Z$39="Menor"),CONCATENATE("R7C",'Mapa final'!$N$39),"")</f>
        <v/>
      </c>
      <c r="U42" s="128" t="str">
        <f>IF(AND('Mapa final'!$X$40="Baja",'Mapa final'!$Z$40="Menor"),CONCATENATE("R7C",'Mapa final'!$N$40),"")</f>
        <v/>
      </c>
      <c r="V42" s="114" t="str">
        <f>IF(AND('Mapa final'!$X$35="Baja",'Mapa final'!$Z$35="Moderado"),CONCATENATE("R7C",'Mapa final'!$N$35),"")</f>
        <v/>
      </c>
      <c r="W42" s="127" t="str">
        <f>IF(AND('Mapa final'!$X$36="Baja",'Mapa final'!$Z$36="Moderado"),CONCATENATE("R7C",'Mapa final'!$N$36),"")</f>
        <v/>
      </c>
      <c r="X42" s="127" t="str">
        <f>IF(AND('Mapa final'!$X$37="Baja",'Mapa final'!$Z$37="Moderado"),CONCATENATE("R7C",'Mapa final'!$N$37),"")</f>
        <v/>
      </c>
      <c r="Y42" s="127" t="str">
        <f>IF(AND('Mapa final'!$X$38="Baja",'Mapa final'!$Z$38="Moderado"),CONCATENATE("R7C",'Mapa final'!$N$38),"")</f>
        <v/>
      </c>
      <c r="Z42" s="127" t="str">
        <f>IF(AND('Mapa final'!$X$39="Baja",'Mapa final'!$Z$39="Moderado"),CONCATENATE("R7C",'Mapa final'!$N$39),"")</f>
        <v/>
      </c>
      <c r="AA42" s="128" t="str">
        <f>IF(AND('Mapa final'!$X$40="Baja",'Mapa final'!$Z$40="Moderado"),CONCATENATE("R7C",'Mapa final'!$N$40),"")</f>
        <v/>
      </c>
      <c r="AB42" s="107" t="str">
        <f>IF(AND('Mapa final'!$X$35="Baja",'Mapa final'!$Z$35="Mayor"),CONCATENATE("R7C",'Mapa final'!$N$35),"")</f>
        <v>R7C1</v>
      </c>
      <c r="AC42" s="108" t="str">
        <f>IF(AND('Mapa final'!$X$36="Baja",'Mapa final'!$Z$36="Mayor"),CONCATENATE("R7C",'Mapa final'!$N$36),"")</f>
        <v>R7C2</v>
      </c>
      <c r="AD42" s="110" t="str">
        <f>IF(AND('Mapa final'!$X$37="Baja",'Mapa final'!$Z$37="Mayor"),CONCATENATE("R7C",'Mapa final'!$N$37),"")</f>
        <v/>
      </c>
      <c r="AE42" s="110" t="str">
        <f>IF(AND('Mapa final'!$X$38="Baja",'Mapa final'!$Z$38="Mayor"),CONCATENATE("R7C",'Mapa final'!$N$38),"")</f>
        <v/>
      </c>
      <c r="AF42" s="110" t="str">
        <f>IF(AND('Mapa final'!$X$39="Baja",'Mapa final'!$Z$39="Mayor"),CONCATENATE("R7C",'Mapa final'!$N$39),"")</f>
        <v/>
      </c>
      <c r="AG42" s="109" t="str">
        <f>IF(AND('Mapa final'!$X$40="Baja",'Mapa final'!$Z$40="Mayor"),CONCATENATE("R7C",'Mapa final'!$N$40),"")</f>
        <v/>
      </c>
      <c r="AH42" s="118" t="str">
        <f>IF(AND('Mapa final'!$X$35="Baja",'Mapa final'!$Z$35="Catastrófico"),CONCATENATE("R7C",'Mapa final'!$N$35),"")</f>
        <v/>
      </c>
      <c r="AI42" s="119" t="str">
        <f>IF(AND('Mapa final'!$X$36="Baja",'Mapa final'!$Z$36="Catastrófico"),CONCATENATE("R7C",'Mapa final'!$N$36),"")</f>
        <v/>
      </c>
      <c r="AJ42" s="119" t="str">
        <f>IF(AND('Mapa final'!$X$37="Baja",'Mapa final'!$Z$37="Catastrófico"),CONCATENATE("R7C",'Mapa final'!$N$37),"")</f>
        <v/>
      </c>
      <c r="AK42" s="119" t="str">
        <f>IF(AND('Mapa final'!$X$38="Baja",'Mapa final'!$Z$38="Catastrófico"),CONCATENATE("R7C",'Mapa final'!$N$38),"")</f>
        <v/>
      </c>
      <c r="AL42" s="119" t="str">
        <f>IF(AND('Mapa final'!$X$39="Baja",'Mapa final'!$Z$39="Catastrófico"),CONCATENATE("R7C",'Mapa final'!$N$39),"")</f>
        <v/>
      </c>
      <c r="AM42" s="120" t="str">
        <f>IF(AND('Mapa final'!$X$40="Baja",'Mapa final'!$Z$40="Catastrófico"),CONCATENATE("R7C",'Mapa final'!$N$40),"")</f>
        <v/>
      </c>
      <c r="AN42" s="50"/>
      <c r="AO42" s="378"/>
      <c r="AP42" s="379"/>
      <c r="AQ42" s="379"/>
      <c r="AR42" s="379"/>
      <c r="AS42" s="379"/>
      <c r="AT42" s="38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row>
    <row r="43" spans="1:80" ht="20.100000000000001" customHeight="1" x14ac:dyDescent="0.3">
      <c r="A43" s="50"/>
      <c r="B43" s="257"/>
      <c r="C43" s="257"/>
      <c r="D43" s="258"/>
      <c r="E43" s="358"/>
      <c r="F43" s="359"/>
      <c r="G43" s="359"/>
      <c r="H43" s="359"/>
      <c r="I43" s="357"/>
      <c r="J43" s="135" t="str">
        <f>IF(AND('Mapa final'!$X$41="Baja",'Mapa final'!$Z$41="Leve"),CONCATENATE("R8C",'Mapa final'!$N$41),"")</f>
        <v/>
      </c>
      <c r="K43" s="136" t="str">
        <f>IF(AND('Mapa final'!$X$42="Baja",'Mapa final'!$Z$42="Leve"),CONCATENATE("R8C",'Mapa final'!$N$42),"")</f>
        <v/>
      </c>
      <c r="L43" s="136" t="str">
        <f>IF(AND('Mapa final'!$X$43="Baja",'Mapa final'!$Z$43="Leve"),CONCATENATE("R8C",'Mapa final'!$N$43),"")</f>
        <v/>
      </c>
      <c r="M43" s="136" t="str">
        <f>IF(AND('Mapa final'!$X$44="Baja",'Mapa final'!$Z$44="Leve"),CONCATENATE("R8C",'Mapa final'!$N$44),"")</f>
        <v/>
      </c>
      <c r="N43" s="136" t="str">
        <f>IF(AND('Mapa final'!$X$45="Baja",'Mapa final'!$Z$45="Leve"),CONCATENATE("R8C",'Mapa final'!$N$45),"")</f>
        <v/>
      </c>
      <c r="O43" s="137" t="str">
        <f>IF(AND('Mapa final'!$X$46="Baja",'Mapa final'!$Z$46="Leve"),CONCATENATE("R8C",'Mapa final'!$N$46),"")</f>
        <v/>
      </c>
      <c r="P43" s="114" t="str">
        <f>IF(AND('Mapa final'!$X$41="Baja",'Mapa final'!$Z$41="Menor"),CONCATENATE("R8C",'Mapa final'!$N$41),"")</f>
        <v/>
      </c>
      <c r="Q43" s="127" t="str">
        <f>IF(AND('Mapa final'!$X$42="Baja",'Mapa final'!$Z$42="Menor"),CONCATENATE("R8C",'Mapa final'!$N$42),"")</f>
        <v/>
      </c>
      <c r="R43" s="127" t="str">
        <f>IF(AND('Mapa final'!$X$43="Baja",'Mapa final'!$Z$43="Menor"),CONCATENATE("R8C",'Mapa final'!$N$43),"")</f>
        <v/>
      </c>
      <c r="S43" s="127" t="str">
        <f>IF(AND('Mapa final'!$X$44="Baja",'Mapa final'!$Z$44="Menor"),CONCATENATE("R8C",'Mapa final'!$N$44),"")</f>
        <v/>
      </c>
      <c r="T43" s="127" t="str">
        <f>IF(AND('Mapa final'!$X$45="Baja",'Mapa final'!$Z$45="Menor"),CONCATENATE("R8C",'Mapa final'!$N$45),"")</f>
        <v/>
      </c>
      <c r="U43" s="128" t="str">
        <f>IF(AND('Mapa final'!$X$46="Baja",'Mapa final'!$Z$46="Menor"),CONCATENATE("R8C",'Mapa final'!$N$46),"")</f>
        <v/>
      </c>
      <c r="V43" s="114" t="str">
        <f>IF(AND('Mapa final'!$X$41="Baja",'Mapa final'!$Z$41="Moderado"),CONCATENATE("R8C",'Mapa final'!$N$41),"")</f>
        <v/>
      </c>
      <c r="W43" s="127" t="str">
        <f>IF(AND('Mapa final'!$X$42="Baja",'Mapa final'!$Z$42="Moderado"),CONCATENATE("R8C",'Mapa final'!$N$42),"")</f>
        <v/>
      </c>
      <c r="X43" s="127" t="str">
        <f>IF(AND('Mapa final'!$X$43="Baja",'Mapa final'!$Z$43="Moderado"),CONCATENATE("R8C",'Mapa final'!$N$43),"")</f>
        <v/>
      </c>
      <c r="Y43" s="127" t="str">
        <f>IF(AND('Mapa final'!$X$44="Baja",'Mapa final'!$Z$44="Moderado"),CONCATENATE("R8C",'Mapa final'!$N$44),"")</f>
        <v/>
      </c>
      <c r="Z43" s="127" t="str">
        <f>IF(AND('Mapa final'!$X$45="Baja",'Mapa final'!$Z$45="Moderado"),CONCATENATE("R8C",'Mapa final'!$N$45),"")</f>
        <v/>
      </c>
      <c r="AA43" s="128" t="str">
        <f>IF(AND('Mapa final'!$X$46="Baja",'Mapa final'!$Z$46="Moderado"),CONCATENATE("R8C",'Mapa final'!$N$46),"")</f>
        <v/>
      </c>
      <c r="AB43" s="107" t="str">
        <f>IF(AND('Mapa final'!$X$41="Baja",'Mapa final'!$Z$41="Mayor"),CONCATENATE("R8C",'Mapa final'!$N$41),"")</f>
        <v>R8C1</v>
      </c>
      <c r="AC43" s="108" t="str">
        <f>IF(AND('Mapa final'!$X$42="Baja",'Mapa final'!$Z$42="Mayor"),CONCATENATE("R8C",'Mapa final'!$N$42),"")</f>
        <v>R8C2</v>
      </c>
      <c r="AD43" s="110" t="str">
        <f>IF(AND('Mapa final'!$X$43="Baja",'Mapa final'!$Z$43="Mayor"),CONCATENATE("R8C",'Mapa final'!$N$43),"")</f>
        <v/>
      </c>
      <c r="AE43" s="110" t="str">
        <f>IF(AND('Mapa final'!$X$44="Baja",'Mapa final'!$Z$44="Mayor"),CONCATENATE("R8C",'Mapa final'!$N$44),"")</f>
        <v/>
      </c>
      <c r="AF43" s="110" t="str">
        <f>IF(AND('Mapa final'!$X$45="Baja",'Mapa final'!$Z$45="Mayor"),CONCATENATE("R8C",'Mapa final'!$N$45),"")</f>
        <v/>
      </c>
      <c r="AG43" s="109" t="str">
        <f>IF(AND('Mapa final'!$X$46="Baja",'Mapa final'!$Z$46="Mayor"),CONCATENATE("R8C",'Mapa final'!$N$46),"")</f>
        <v/>
      </c>
      <c r="AH43" s="118" t="str">
        <f>IF(AND('Mapa final'!$X$41="Baja",'Mapa final'!$Z$41="Catastrófico"),CONCATENATE("R8C",'Mapa final'!$N$41),"")</f>
        <v/>
      </c>
      <c r="AI43" s="119" t="str">
        <f>IF(AND('Mapa final'!$X$42="Baja",'Mapa final'!$Z$42="Catastrófico"),CONCATENATE("R8C",'Mapa final'!$N$42),"")</f>
        <v/>
      </c>
      <c r="AJ43" s="119" t="str">
        <f>IF(AND('Mapa final'!$X$43="Baja",'Mapa final'!$Z$43="Catastrófico"),CONCATENATE("R8C",'Mapa final'!$N$43),"")</f>
        <v/>
      </c>
      <c r="AK43" s="119" t="str">
        <f>IF(AND('Mapa final'!$X$44="Baja",'Mapa final'!$Z$44="Catastrófico"),CONCATENATE("R8C",'Mapa final'!$N$44),"")</f>
        <v/>
      </c>
      <c r="AL43" s="119" t="str">
        <f>IF(AND('Mapa final'!$X$45="Baja",'Mapa final'!$Z$45="Catastrófico"),CONCATENATE("R8C",'Mapa final'!$N$45),"")</f>
        <v/>
      </c>
      <c r="AM43" s="120" t="str">
        <f>IF(AND('Mapa final'!$X$46="Baja",'Mapa final'!$Z$46="Catastrófico"),CONCATENATE("R8C",'Mapa final'!$N$46),"")</f>
        <v/>
      </c>
      <c r="AN43" s="50"/>
      <c r="AO43" s="378"/>
      <c r="AP43" s="379"/>
      <c r="AQ43" s="379"/>
      <c r="AR43" s="379"/>
      <c r="AS43" s="379"/>
      <c r="AT43" s="38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row>
    <row r="44" spans="1:80" ht="20.100000000000001" customHeight="1" x14ac:dyDescent="0.3">
      <c r="A44" s="50"/>
      <c r="B44" s="257"/>
      <c r="C44" s="257"/>
      <c r="D44" s="258"/>
      <c r="E44" s="358"/>
      <c r="F44" s="359"/>
      <c r="G44" s="359"/>
      <c r="H44" s="359"/>
      <c r="I44" s="357"/>
      <c r="J44" s="135" t="str">
        <f>IF(AND('Mapa final'!$X$47="Baja",'Mapa final'!$Z$47="Leve"),CONCATENATE("R9C",'Mapa final'!$N$47),"")</f>
        <v/>
      </c>
      <c r="K44" s="136" t="str">
        <f>IF(AND('Mapa final'!$X$48="Baja",'Mapa final'!$Z$48="Leve"),CONCATENATE("R9C",'Mapa final'!$N$48),"")</f>
        <v/>
      </c>
      <c r="L44" s="136" t="str">
        <f>IF(AND('Mapa final'!$X$49="Baja",'Mapa final'!$Z$49="Leve"),CONCATENATE("R9C",'Mapa final'!$N$49),"")</f>
        <v/>
      </c>
      <c r="M44" s="136" t="str">
        <f>IF(AND('Mapa final'!$X$50="Baja",'Mapa final'!$Z$50="Leve"),CONCATENATE("R9C",'Mapa final'!$N$50),"")</f>
        <v/>
      </c>
      <c r="N44" s="136" t="str">
        <f>IF(AND('Mapa final'!$X$51="Baja",'Mapa final'!$Z$51="Leve"),CONCATENATE("R9C",'Mapa final'!$N$51),"")</f>
        <v/>
      </c>
      <c r="O44" s="137" t="str">
        <f>IF(AND('Mapa final'!$X$52="Baja",'Mapa final'!$Z$52="Leve"),CONCATENATE("R9C",'Mapa final'!$N$52),"")</f>
        <v/>
      </c>
      <c r="P44" s="114" t="str">
        <f>IF(AND('Mapa final'!$X$47="Baja",'Mapa final'!$Z$47="Menor"),CONCATENATE("R9C",'Mapa final'!$N$47),"")</f>
        <v/>
      </c>
      <c r="Q44" s="127" t="str">
        <f>IF(AND('Mapa final'!$X$48="Baja",'Mapa final'!$Z$48="Menor"),CONCATENATE("R9C",'Mapa final'!$N$48),"")</f>
        <v/>
      </c>
      <c r="R44" s="127" t="str">
        <f>IF(AND('Mapa final'!$X$49="Baja",'Mapa final'!$Z$49="Menor"),CONCATENATE("R9C",'Mapa final'!$N$49),"")</f>
        <v/>
      </c>
      <c r="S44" s="127" t="str">
        <f>IF(AND('Mapa final'!$X$50="Baja",'Mapa final'!$Z$50="Menor"),CONCATENATE("R9C",'Mapa final'!$N$50),"")</f>
        <v/>
      </c>
      <c r="T44" s="127" t="str">
        <f>IF(AND('Mapa final'!$X$51="Baja",'Mapa final'!$Z$51="Menor"),CONCATENATE("R9C",'Mapa final'!$N$51),"")</f>
        <v/>
      </c>
      <c r="U44" s="128" t="str">
        <f>IF(AND('Mapa final'!$X$52="Baja",'Mapa final'!$Z$52="Menor"),CONCATENATE("R9C",'Mapa final'!$N$52),"")</f>
        <v/>
      </c>
      <c r="V44" s="114" t="str">
        <f>IF(AND('Mapa final'!$X$47="Baja",'Mapa final'!$Z$47="Moderado"),CONCATENATE("R9C",'Mapa final'!$N$47),"")</f>
        <v/>
      </c>
      <c r="W44" s="127" t="str">
        <f>IF(AND('Mapa final'!$X$48="Baja",'Mapa final'!$Z$48="Moderado"),CONCATENATE("R9C",'Mapa final'!$N$48),"")</f>
        <v/>
      </c>
      <c r="X44" s="127" t="str">
        <f>IF(AND('Mapa final'!$X$49="Baja",'Mapa final'!$Z$49="Moderado"),CONCATENATE("R9C",'Mapa final'!$N$49),"")</f>
        <v/>
      </c>
      <c r="Y44" s="127" t="str">
        <f>IF(AND('Mapa final'!$X$50="Baja",'Mapa final'!$Z$50="Moderado"),CONCATENATE("R9C",'Mapa final'!$N$50),"")</f>
        <v/>
      </c>
      <c r="Z44" s="127" t="str">
        <f>IF(AND('Mapa final'!$X$51="Baja",'Mapa final'!$Z$51="Moderado"),CONCATENATE("R9C",'Mapa final'!$N$51),"")</f>
        <v/>
      </c>
      <c r="AA44" s="128" t="str">
        <f>IF(AND('Mapa final'!$X$52="Baja",'Mapa final'!$Z$52="Moderado"),CONCATENATE("R9C",'Mapa final'!$N$52),"")</f>
        <v/>
      </c>
      <c r="AB44" s="107" t="str">
        <f>IF(AND('Mapa final'!$X$47="Baja",'Mapa final'!$Z$47="Mayor"),CONCATENATE("R9C",'Mapa final'!$N$47),"")</f>
        <v>R9C1</v>
      </c>
      <c r="AC44" s="108" t="str">
        <f>IF(AND('Mapa final'!$X$48="Baja",'Mapa final'!$Z$48="Mayor"),CONCATENATE("R9C",'Mapa final'!$N$48),"")</f>
        <v>R9C2</v>
      </c>
      <c r="AD44" s="110" t="str">
        <f>IF(AND('Mapa final'!$X$49="Baja",'Mapa final'!$Z$49="Mayor"),CONCATENATE("R9C",'Mapa final'!$N$49),"")</f>
        <v/>
      </c>
      <c r="AE44" s="110" t="str">
        <f>IF(AND('Mapa final'!$X$50="Baja",'Mapa final'!$Z$50="Mayor"),CONCATENATE("R9C",'Mapa final'!$N$50),"")</f>
        <v/>
      </c>
      <c r="AF44" s="110" t="str">
        <f>IF(AND('Mapa final'!$X$51="Baja",'Mapa final'!$Z$51="Mayor"),CONCATENATE("R9C",'Mapa final'!$N$51),"")</f>
        <v/>
      </c>
      <c r="AG44" s="109" t="str">
        <f>IF(AND('Mapa final'!$X$52="Baja",'Mapa final'!$Z$52="Mayor"),CONCATENATE("R9C",'Mapa final'!$N$52),"")</f>
        <v/>
      </c>
      <c r="AH44" s="118" t="str">
        <f>IF(AND('Mapa final'!$X$47="Baja",'Mapa final'!$Z$47="Catastrófico"),CONCATENATE("R9C",'Mapa final'!$N$47),"")</f>
        <v/>
      </c>
      <c r="AI44" s="119" t="str">
        <f>IF(AND('Mapa final'!$X$48="Baja",'Mapa final'!$Z$48="Catastrófico"),CONCATENATE("R9C",'Mapa final'!$N$48),"")</f>
        <v/>
      </c>
      <c r="AJ44" s="119" t="str">
        <f>IF(AND('Mapa final'!$X$49="Baja",'Mapa final'!$Z$49="Catastrófico"),CONCATENATE("R9C",'Mapa final'!$N$49),"")</f>
        <v/>
      </c>
      <c r="AK44" s="119" t="str">
        <f>IF(AND('Mapa final'!$X$50="Baja",'Mapa final'!$Z$50="Catastrófico"),CONCATENATE("R9C",'Mapa final'!$N$50),"")</f>
        <v/>
      </c>
      <c r="AL44" s="119" t="str">
        <f>IF(AND('Mapa final'!$X$51="Baja",'Mapa final'!$Z$51="Catastrófico"),CONCATENATE("R9C",'Mapa final'!$N$51),"")</f>
        <v/>
      </c>
      <c r="AM44" s="120" t="str">
        <f>IF(AND('Mapa final'!$X$52="Baja",'Mapa final'!$Z$52="Catastrófico"),CONCATENATE("R9C",'Mapa final'!$N$52),"")</f>
        <v/>
      </c>
      <c r="AN44" s="50"/>
      <c r="AO44" s="378"/>
      <c r="AP44" s="379"/>
      <c r="AQ44" s="379"/>
      <c r="AR44" s="379"/>
      <c r="AS44" s="379"/>
      <c r="AT44" s="38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row>
    <row r="45" spans="1:80" ht="20.100000000000001" customHeight="1" thickBot="1" x14ac:dyDescent="0.35">
      <c r="A45" s="50"/>
      <c r="B45" s="257"/>
      <c r="C45" s="257"/>
      <c r="D45" s="258"/>
      <c r="E45" s="360"/>
      <c r="F45" s="361"/>
      <c r="G45" s="361"/>
      <c r="H45" s="361"/>
      <c r="I45" s="361"/>
      <c r="J45" s="138" t="str">
        <f>IF(AND('Mapa final'!$X$53="Baja",'Mapa final'!$Z$53="Leve"),CONCATENATE("R10C",'Mapa final'!$N$53),"")</f>
        <v/>
      </c>
      <c r="K45" s="139" t="str">
        <f>IF(AND('Mapa final'!$X$54="Baja",'Mapa final'!$Z$54="Leve"),CONCATENATE("R10C",'Mapa final'!$N$54),"")</f>
        <v/>
      </c>
      <c r="L45" s="139" t="str">
        <f>IF(AND('Mapa final'!$X$55="Baja",'Mapa final'!$Z$55="Leve"),CONCATENATE("R10C",'Mapa final'!$N$55),"")</f>
        <v/>
      </c>
      <c r="M45" s="139" t="str">
        <f>IF(AND('Mapa final'!$X$56="Baja",'Mapa final'!$Z$56="Leve"),CONCATENATE("R10C",'Mapa final'!$N$56),"")</f>
        <v/>
      </c>
      <c r="N45" s="139" t="str">
        <f>IF(AND('Mapa final'!$X$57="Baja",'Mapa final'!$Z$57="Leve"),CONCATENATE("R10C",'Mapa final'!$N$57),"")</f>
        <v/>
      </c>
      <c r="O45" s="140" t="str">
        <f>IF(AND('Mapa final'!$X$58="Baja",'Mapa final'!$Z$58="Leve"),CONCATENATE("R10C",'Mapa final'!$N$58),"")</f>
        <v/>
      </c>
      <c r="P45" s="114" t="str">
        <f>IF(AND('Mapa final'!$X$53="Baja",'Mapa final'!$Z$53="Menor"),CONCATENATE("R10C",'Mapa final'!$N$53),"")</f>
        <v/>
      </c>
      <c r="Q45" s="127" t="str">
        <f>IF(AND('Mapa final'!$X$54="Baja",'Mapa final'!$Z$54="Menor"),CONCATENATE("R10C",'Mapa final'!$N$54),"")</f>
        <v/>
      </c>
      <c r="R45" s="127" t="str">
        <f>IF(AND('Mapa final'!$X$55="Baja",'Mapa final'!$Z$55="Menor"),CONCATENATE("R10C",'Mapa final'!$N$55),"")</f>
        <v/>
      </c>
      <c r="S45" s="127" t="str">
        <f>IF(AND('Mapa final'!$X$56="Baja",'Mapa final'!$Z$56="Menor"),CONCATENATE("R10C",'Mapa final'!$N$56),"")</f>
        <v/>
      </c>
      <c r="T45" s="127" t="str">
        <f>IF(AND('Mapa final'!$X$57="Baja",'Mapa final'!$Z$57="Menor"),CONCATENATE("R10C",'Mapa final'!$N$57),"")</f>
        <v/>
      </c>
      <c r="U45" s="128" t="str">
        <f>IF(AND('Mapa final'!$X$58="Baja",'Mapa final'!$Z$58="Menor"),CONCATENATE("R10C",'Mapa final'!$N$58),"")</f>
        <v/>
      </c>
      <c r="V45" s="129" t="str">
        <f>IF(AND('Mapa final'!$X$53="Baja",'Mapa final'!$Z$53="Moderado"),CONCATENATE("R10C",'Mapa final'!$N$53),"")</f>
        <v/>
      </c>
      <c r="W45" s="130" t="str">
        <f>IF(AND('Mapa final'!$X$54="Baja",'Mapa final'!$Z$54="Moderado"),CONCATENATE("R10C",'Mapa final'!$N$54),"")</f>
        <v/>
      </c>
      <c r="X45" s="130" t="str">
        <f>IF(AND('Mapa final'!$X$55="Baja",'Mapa final'!$Z$55="Moderado"),CONCATENATE("R10C",'Mapa final'!$N$55),"")</f>
        <v/>
      </c>
      <c r="Y45" s="130" t="str">
        <f>IF(AND('Mapa final'!$X$56="Baja",'Mapa final'!$Z$56="Moderado"),CONCATENATE("R10C",'Mapa final'!$N$56),"")</f>
        <v/>
      </c>
      <c r="Z45" s="130" t="str">
        <f>IF(AND('Mapa final'!$X$57="Baja",'Mapa final'!$Z$57="Moderado"),CONCATENATE("R10C",'Mapa final'!$N$57),"")</f>
        <v/>
      </c>
      <c r="AA45" s="131" t="str">
        <f>IF(AND('Mapa final'!$X$58="Baja",'Mapa final'!$Z$58="Moderado"),CONCATENATE("R10C",'Mapa final'!$N$58),"")</f>
        <v/>
      </c>
      <c r="AB45" s="111" t="str">
        <f>IF(AND('Mapa final'!$X$53="Baja",'Mapa final'!$Z$53="Mayor"),CONCATENATE("R10C",'Mapa final'!$N$53),"")</f>
        <v>R10C1</v>
      </c>
      <c r="AC45" s="112" t="str">
        <f>IF(AND('Mapa final'!$X$54="Baja",'Mapa final'!$Z$54="Mayor"),CONCATENATE("R10C",'Mapa final'!$N$54),"")</f>
        <v>R10C2</v>
      </c>
      <c r="AD45" s="112" t="str">
        <f>IF(AND('Mapa final'!$X$55="Baja",'Mapa final'!$Z$55="Mayor"),CONCATENATE("R10C",'Mapa final'!$N$55),"")</f>
        <v/>
      </c>
      <c r="AE45" s="112" t="str">
        <f>IF(AND('Mapa final'!$X$56="Baja",'Mapa final'!$Z$56="Mayor"),CONCATENATE("R10C",'Mapa final'!$N$56),"")</f>
        <v/>
      </c>
      <c r="AF45" s="112" t="str">
        <f>IF(AND('Mapa final'!$X$57="Baja",'Mapa final'!$Z$57="Mayor"),CONCATENATE("R10C",'Mapa final'!$N$57),"")</f>
        <v/>
      </c>
      <c r="AG45" s="113" t="str">
        <f>IF(AND('Mapa final'!$X$58="Baja",'Mapa final'!$Z$58="Mayor"),CONCATENATE("R10C",'Mapa final'!$N$58),"")</f>
        <v/>
      </c>
      <c r="AH45" s="121" t="str">
        <f>IF(AND('Mapa final'!$X$53="Baja",'Mapa final'!$Z$53="Catastrófico"),CONCATENATE("R10C",'Mapa final'!$N$53),"")</f>
        <v/>
      </c>
      <c r="AI45" s="122" t="str">
        <f>IF(AND('Mapa final'!$X$54="Baja",'Mapa final'!$Z$54="Catastrófico"),CONCATENATE("R10C",'Mapa final'!$N$54),"")</f>
        <v/>
      </c>
      <c r="AJ45" s="122" t="str">
        <f>IF(AND('Mapa final'!$X$55="Baja",'Mapa final'!$Z$55="Catastrófico"),CONCATENATE("R10C",'Mapa final'!$N$55),"")</f>
        <v/>
      </c>
      <c r="AK45" s="122" t="str">
        <f>IF(AND('Mapa final'!$X$56="Baja",'Mapa final'!$Z$56="Catastrófico"),CONCATENATE("R10C",'Mapa final'!$N$56),"")</f>
        <v/>
      </c>
      <c r="AL45" s="122" t="str">
        <f>IF(AND('Mapa final'!$X$57="Baja",'Mapa final'!$Z$57="Catastrófico"),CONCATENATE("R10C",'Mapa final'!$N$57),"")</f>
        <v/>
      </c>
      <c r="AM45" s="123" t="str">
        <f>IF(AND('Mapa final'!$X$58="Baja",'Mapa final'!$Z$58="Catastrófico"),CONCATENATE("R10C",'Mapa final'!$N$58),"")</f>
        <v/>
      </c>
      <c r="AN45" s="50"/>
      <c r="AO45" s="381"/>
      <c r="AP45" s="382"/>
      <c r="AQ45" s="382"/>
      <c r="AR45" s="382"/>
      <c r="AS45" s="382"/>
      <c r="AT45" s="383"/>
    </row>
    <row r="46" spans="1:80" ht="20.100000000000001" customHeight="1" x14ac:dyDescent="0.3">
      <c r="A46" s="50"/>
      <c r="B46" s="257"/>
      <c r="C46" s="257"/>
      <c r="D46" s="258"/>
      <c r="E46" s="354" t="s">
        <v>111</v>
      </c>
      <c r="F46" s="355"/>
      <c r="G46" s="355"/>
      <c r="H46" s="355"/>
      <c r="I46" s="372"/>
      <c r="J46" s="132" t="str">
        <f>IF(AND('Mapa final'!$X$11="Muy Baja",'Mapa final'!$Z$11="Leve"),CONCATENATE("R1C",'Mapa final'!$N$11),"")</f>
        <v/>
      </c>
      <c r="K46" s="133" t="str">
        <f>IF(AND('Mapa final'!$X$12="Muy Baja",'Mapa final'!$Z$12="Leve"),CONCATENATE("R1C",'Mapa final'!$N$12),"")</f>
        <v/>
      </c>
      <c r="L46" s="133" t="str">
        <f>IF(AND('Mapa final'!$X$13="Muy Baja",'Mapa final'!$Z$13="Leve"),CONCATENATE("R1C",'Mapa final'!$N$13),"")</f>
        <v/>
      </c>
      <c r="M46" s="133" t="str">
        <f>IF(AND('Mapa final'!$X$14="Muy Baja",'Mapa final'!$Z$14="Leve"),CONCATENATE("R1C",'Mapa final'!$N$14),"")</f>
        <v/>
      </c>
      <c r="N46" s="133" t="str">
        <f>IF(AND('Mapa final'!$X$15="Muy Baja",'Mapa final'!$Z$15="Leve"),CONCATENATE("R1C",'Mapa final'!$N$15),"")</f>
        <v/>
      </c>
      <c r="O46" s="134" t="str">
        <f>IF(AND('Mapa final'!$X$16="Muy Baja",'Mapa final'!$Z$16="Leve"),CONCATENATE("R1C",'Mapa final'!$N$16),"")</f>
        <v/>
      </c>
      <c r="P46" s="132" t="str">
        <f>IF(AND('Mapa final'!$X$11="Muy Baja",'Mapa final'!$Z$11="Menor"),CONCATENATE("R1C",'Mapa final'!$N$11),"")</f>
        <v/>
      </c>
      <c r="Q46" s="133" t="str">
        <f>IF(AND('Mapa final'!$X$12="Muy Baja",'Mapa final'!$Z$12="Menor"),CONCATENATE("R1C",'Mapa final'!$N$12),"")</f>
        <v/>
      </c>
      <c r="R46" s="133" t="str">
        <f>IF(AND('Mapa final'!$X$13="Muy Baja",'Mapa final'!$Z$13="Menor"),CONCATENATE("R1C",'Mapa final'!$N$13),"")</f>
        <v/>
      </c>
      <c r="S46" s="133" t="str">
        <f>IF(AND('Mapa final'!$X$14="Muy Baja",'Mapa final'!$Z$14="Menor"),CONCATENATE("R1C",'Mapa final'!$N$14),"")</f>
        <v/>
      </c>
      <c r="T46" s="133" t="str">
        <f>IF(AND('Mapa final'!$X$15="Muy Baja",'Mapa final'!$Z$15="Menor"),CONCATENATE("R1C",'Mapa final'!$N$15),"")</f>
        <v/>
      </c>
      <c r="U46" s="134" t="str">
        <f>IF(AND('Mapa final'!$X$16="Muy Baja",'Mapa final'!$Z$16="Menor"),CONCATENATE("R1C",'Mapa final'!$N$16),"")</f>
        <v/>
      </c>
      <c r="V46" s="124" t="str">
        <f>IF(AND('Mapa final'!$X$11="Muy Baja",'Mapa final'!$Z$11="Moderado"),CONCATENATE("R1C",'Mapa final'!$N$11),"")</f>
        <v/>
      </c>
      <c r="W46" s="125" t="str">
        <f>IF(AND('Mapa final'!$X$12="Muy Baja",'Mapa final'!$Z$12="Moderado"),CONCATENATE("R1C",'Mapa final'!$N$12),"")</f>
        <v/>
      </c>
      <c r="X46" s="125" t="str">
        <f>IF(AND('Mapa final'!$X$13="Muy Baja",'Mapa final'!$Z$13="Moderado"),CONCATENATE("R1C",'Mapa final'!$N$13),"")</f>
        <v/>
      </c>
      <c r="Y46" s="125" t="str">
        <f>IF(AND('Mapa final'!$X$14="Muy Baja",'Mapa final'!$Z$14="Moderado"),CONCATENATE("R1C",'Mapa final'!$N$14),"")</f>
        <v/>
      </c>
      <c r="Z46" s="125" t="str">
        <f>IF(AND('Mapa final'!$X$15="Muy Baja",'Mapa final'!$Z$15="Moderado"),CONCATENATE("R1C",'Mapa final'!$N$15),"")</f>
        <v/>
      </c>
      <c r="AA46" s="126" t="str">
        <f>IF(AND('Mapa final'!$X$16="Muy Baja",'Mapa final'!$Z$16="Moderado"),CONCATENATE("R1C",'Mapa final'!$N$16),"")</f>
        <v/>
      </c>
      <c r="AB46" s="104" t="str">
        <f>IF(AND('Mapa final'!$X$11="Muy Baja",'Mapa final'!$Z$11="Mayor"),CONCATENATE("R1C",'Mapa final'!$N$11),"")</f>
        <v/>
      </c>
      <c r="AC46" s="105" t="str">
        <f>IF(AND('Mapa final'!$X$12="Muy Baja",'Mapa final'!$Z$12="Mayor"),CONCATENATE("R1C",'Mapa final'!$N$12),"")</f>
        <v/>
      </c>
      <c r="AD46" s="105" t="str">
        <f>IF(AND('Mapa final'!$X$13="Muy Baja",'Mapa final'!$Z$13="Mayor"),CONCATENATE("R1C",'Mapa final'!$N$13),"")</f>
        <v/>
      </c>
      <c r="AE46" s="105" t="str">
        <f>IF(AND('Mapa final'!$X$14="Muy Baja",'Mapa final'!$Z$14="Mayor"),CONCATENATE("R1C",'Mapa final'!$N$14),"")</f>
        <v/>
      </c>
      <c r="AF46" s="105" t="str">
        <f>IF(AND('Mapa final'!$X$15="Muy Baja",'Mapa final'!$Z$15="Mayor"),CONCATENATE("R1C",'Mapa final'!$N$15),"")</f>
        <v/>
      </c>
      <c r="AG46" s="106" t="str">
        <f>IF(AND('Mapa final'!$X$16="Muy Baja",'Mapa final'!$Z$16="Mayor"),CONCATENATE("R1C",'Mapa final'!$N$16),"")</f>
        <v/>
      </c>
      <c r="AH46" s="115" t="str">
        <f>IF(AND('Mapa final'!$X$11="Muy Baja",'Mapa final'!$Z$11="Catastrófico"),CONCATENATE("R1C",'Mapa final'!$N$11),"")</f>
        <v/>
      </c>
      <c r="AI46" s="116" t="str">
        <f>IF(AND('Mapa final'!$X$12="Muy Baja",'Mapa final'!$Z$12="Catastrófico"),CONCATENATE("R1C",'Mapa final'!$N$12),"")</f>
        <v/>
      </c>
      <c r="AJ46" s="116" t="str">
        <f>IF(AND('Mapa final'!$X$13="Muy Baja",'Mapa final'!$Z$13="Catastrófico"),CONCATENATE("R1C",'Mapa final'!$N$13),"")</f>
        <v/>
      </c>
      <c r="AK46" s="116" t="str">
        <f>IF(AND('Mapa final'!$X$14="Muy Baja",'Mapa final'!$Z$14="Catastrófico"),CONCATENATE("R1C",'Mapa final'!$N$14),"")</f>
        <v/>
      </c>
      <c r="AL46" s="116" t="str">
        <f>IF(AND('Mapa final'!$X$15="Muy Baja",'Mapa final'!$Z$15="Catastrófico"),CONCATENATE("R1C",'Mapa final'!$N$15),"")</f>
        <v/>
      </c>
      <c r="AM46" s="117" t="str">
        <f>IF(AND('Mapa final'!$X$16="Muy Baja",'Mapa final'!$Z$16="Catastrófico"),CONCATENATE("R1C",'Mapa final'!$N$16),"")</f>
        <v/>
      </c>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row>
    <row r="47" spans="1:80" ht="20.100000000000001" customHeight="1" x14ac:dyDescent="0.3">
      <c r="A47" s="50"/>
      <c r="B47" s="257"/>
      <c r="C47" s="257"/>
      <c r="D47" s="258"/>
      <c r="E47" s="356"/>
      <c r="F47" s="357"/>
      <c r="G47" s="357"/>
      <c r="H47" s="357"/>
      <c r="I47" s="373"/>
      <c r="J47" s="135" t="str">
        <f>IF(AND('Mapa final'!$X$17="Muy Baja",'Mapa final'!$Z$17="Leve"),CONCATENATE("R2C",'Mapa final'!$N$17),"")</f>
        <v/>
      </c>
      <c r="K47" s="136" t="str">
        <f>IF(AND('Mapa final'!$X$18="Muy Baja",'Mapa final'!$Z$18="Leve"),CONCATENATE("R2C",'Mapa final'!$N$18),"")</f>
        <v/>
      </c>
      <c r="L47" s="136" t="str">
        <f>IF(AND('Mapa final'!$X$19="Muy Baja",'Mapa final'!$Z$19="Leve"),CONCATENATE("R2C",'Mapa final'!$N$19),"")</f>
        <v/>
      </c>
      <c r="M47" s="136" t="str">
        <f>IF(AND('Mapa final'!$X$20="Muy Baja",'Mapa final'!$Z$20="Leve"),CONCATENATE("R2C",'Mapa final'!$N$20),"")</f>
        <v/>
      </c>
      <c r="N47" s="136" t="str">
        <f>IF(AND('Mapa final'!$X$21="Muy Baja",'Mapa final'!$Z$21="Leve"),CONCATENATE("R2C",'Mapa final'!$N$21),"")</f>
        <v/>
      </c>
      <c r="O47" s="137" t="str">
        <f>IF(AND('Mapa final'!$X$22="Muy Baja",'Mapa final'!$Z$22="Leve"),CONCATENATE("R2C",'Mapa final'!$N$22),"")</f>
        <v/>
      </c>
      <c r="P47" s="135" t="str">
        <f>IF(AND('Mapa final'!$X$17="Muy Baja",'Mapa final'!$Z$17="Menor"),CONCATENATE("R2C",'Mapa final'!$N$17),"")</f>
        <v/>
      </c>
      <c r="Q47" s="136" t="str">
        <f>IF(AND('Mapa final'!$X$18="Muy Baja",'Mapa final'!$Z$18="Menor"),CONCATENATE("R2C",'Mapa final'!$N$18),"")</f>
        <v/>
      </c>
      <c r="R47" s="136" t="str">
        <f>IF(AND('Mapa final'!$X$19="Muy Baja",'Mapa final'!$Z$19="Menor"),CONCATENATE("R2C",'Mapa final'!$N$19),"")</f>
        <v/>
      </c>
      <c r="S47" s="136" t="str">
        <f>IF(AND('Mapa final'!$X$20="Muy Baja",'Mapa final'!$Z$20="Menor"),CONCATENATE("R2C",'Mapa final'!$N$20),"")</f>
        <v/>
      </c>
      <c r="T47" s="136" t="str">
        <f>IF(AND('Mapa final'!$X$21="Muy Baja",'Mapa final'!$Z$21="Menor"),CONCATENATE("R2C",'Mapa final'!$N$21),"")</f>
        <v/>
      </c>
      <c r="U47" s="137" t="str">
        <f>IF(AND('Mapa final'!$X$22="Muy Baja",'Mapa final'!$Z$22="Menor"),CONCATENATE("R2C",'Mapa final'!$N$22),"")</f>
        <v/>
      </c>
      <c r="V47" s="114" t="str">
        <f>IF(AND('Mapa final'!$X$17="Muy Baja",'Mapa final'!$Z$17="Moderado"),CONCATENATE("R2C",'Mapa final'!$N$17),"")</f>
        <v/>
      </c>
      <c r="W47" s="127" t="str">
        <f>IF(AND('Mapa final'!$X$18="Muy Baja",'Mapa final'!$Z$18="Moderado"),CONCATENATE("R2C",'Mapa final'!$N$18),"")</f>
        <v/>
      </c>
      <c r="X47" s="127" t="str">
        <f>IF(AND('Mapa final'!$X$19="Muy Baja",'Mapa final'!$Z$19="Moderado"),CONCATENATE("R2C",'Mapa final'!$N$19),"")</f>
        <v/>
      </c>
      <c r="Y47" s="127" t="str">
        <f>IF(AND('Mapa final'!$X$20="Muy Baja",'Mapa final'!$Z$20="Moderado"),CONCATENATE("R2C",'Mapa final'!$N$20),"")</f>
        <v/>
      </c>
      <c r="Z47" s="127" t="str">
        <f>IF(AND('Mapa final'!$X$21="Muy Baja",'Mapa final'!$Z$21="Moderado"),CONCATENATE("R2C",'Mapa final'!$N$21),"")</f>
        <v/>
      </c>
      <c r="AA47" s="128" t="str">
        <f>IF(AND('Mapa final'!$X$22="Muy Baja",'Mapa final'!$Z$22="Moderado"),CONCATENATE("R2C",'Mapa final'!$N$22),"")</f>
        <v/>
      </c>
      <c r="AB47" s="107" t="str">
        <f>IF(AND('Mapa final'!$X$17="Muy Baja",'Mapa final'!$Z$17="Mayor"),CONCATENATE("R2C",'Mapa final'!$N$17),"")</f>
        <v/>
      </c>
      <c r="AC47" s="108" t="str">
        <f>IF(AND('Mapa final'!$X$18="Muy Baja",'Mapa final'!$Z$18="Mayor"),CONCATENATE("R2C",'Mapa final'!$N$18),"")</f>
        <v/>
      </c>
      <c r="AD47" s="108" t="str">
        <f>IF(AND('Mapa final'!$X$19="Muy Baja",'Mapa final'!$Z$19="Mayor"),CONCATENATE("R2C",'Mapa final'!$N$19),"")</f>
        <v>R2C3</v>
      </c>
      <c r="AE47" s="108" t="str">
        <f>IF(AND('Mapa final'!$X$20="Muy Baja",'Mapa final'!$Z$20="Mayor"),CONCATENATE("R2C",'Mapa final'!$N$20),"")</f>
        <v/>
      </c>
      <c r="AF47" s="108" t="str">
        <f>IF(AND('Mapa final'!$X$21="Muy Baja",'Mapa final'!$Z$21="Mayor"),CONCATENATE("R2C",'Mapa final'!$N$21),"")</f>
        <v/>
      </c>
      <c r="AG47" s="109" t="str">
        <f>IF(AND('Mapa final'!$X$22="Muy Baja",'Mapa final'!$Z$22="Mayor"),CONCATENATE("R2C",'Mapa final'!$N$22),"")</f>
        <v/>
      </c>
      <c r="AH47" s="118" t="str">
        <f>IF(AND('Mapa final'!$X$17="Muy Baja",'Mapa final'!$Z$17="Catastrófico"),CONCATENATE("R2C",'Mapa final'!$N$17),"")</f>
        <v/>
      </c>
      <c r="AI47" s="119" t="str">
        <f>IF(AND('Mapa final'!$X$18="Muy Baja",'Mapa final'!$Z$18="Catastrófico"),CONCATENATE("R2C",'Mapa final'!$N$18),"")</f>
        <v/>
      </c>
      <c r="AJ47" s="119" t="str">
        <f>IF(AND('Mapa final'!$X$19="Muy Baja",'Mapa final'!$Z$19="Catastrófico"),CONCATENATE("R2C",'Mapa final'!$N$19),"")</f>
        <v/>
      </c>
      <c r="AK47" s="119" t="str">
        <f>IF(AND('Mapa final'!$X$20="Muy Baja",'Mapa final'!$Z$20="Catastrófico"),CONCATENATE("R2C",'Mapa final'!$N$20),"")</f>
        <v/>
      </c>
      <c r="AL47" s="119" t="str">
        <f>IF(AND('Mapa final'!$X$21="Muy Baja",'Mapa final'!$Z$21="Catastrófico"),CONCATENATE("R2C",'Mapa final'!$N$21),"")</f>
        <v/>
      </c>
      <c r="AM47" s="120" t="str">
        <f>IF(AND('Mapa final'!$X$22="Muy Baja",'Mapa final'!$Z$22="Catastrófico"),CONCATENATE("R2C",'Mapa final'!$N$22),"")</f>
        <v/>
      </c>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row>
    <row r="48" spans="1:80" ht="20.100000000000001" customHeight="1" x14ac:dyDescent="0.3">
      <c r="A48" s="50"/>
      <c r="B48" s="257"/>
      <c r="C48" s="257"/>
      <c r="D48" s="258"/>
      <c r="E48" s="356"/>
      <c r="F48" s="357"/>
      <c r="G48" s="357"/>
      <c r="H48" s="357"/>
      <c r="I48" s="373"/>
      <c r="J48" s="135" t="e">
        <f>IF(AND('Mapa final'!#REF!="Muy Baja",'Mapa final'!#REF!="Leve"),CONCATENATE("R3C",'Mapa final'!#REF!),"")</f>
        <v>#REF!</v>
      </c>
      <c r="K48" s="136" t="e">
        <f>IF(AND('Mapa final'!#REF!="Muy Baja",'Mapa final'!#REF!="Leve"),CONCATENATE("R3C",'Mapa final'!#REF!),"")</f>
        <v>#REF!</v>
      </c>
      <c r="L48" s="136" t="e">
        <f>IF(AND('Mapa final'!#REF!="Muy Baja",'Mapa final'!#REF!="Leve"),CONCATENATE("R3C",'Mapa final'!#REF!),"")</f>
        <v>#REF!</v>
      </c>
      <c r="M48" s="136" t="e">
        <f>IF(AND('Mapa final'!#REF!="Muy Baja",'Mapa final'!#REF!="Leve"),CONCATENATE("R3C",'Mapa final'!#REF!),"")</f>
        <v>#REF!</v>
      </c>
      <c r="N48" s="136" t="e">
        <f>IF(AND('Mapa final'!#REF!="Muy Baja",'Mapa final'!#REF!="Leve"),CONCATENATE("R3C",'Mapa final'!#REF!),"")</f>
        <v>#REF!</v>
      </c>
      <c r="O48" s="137" t="e">
        <f>IF(AND('Mapa final'!#REF!="Muy Baja",'Mapa final'!#REF!="Leve"),CONCATENATE("R3C",'Mapa final'!#REF!),"")</f>
        <v>#REF!</v>
      </c>
      <c r="P48" s="135" t="e">
        <f>IF(AND('Mapa final'!#REF!="Muy Baja",'Mapa final'!#REF!="Menor"),CONCATENATE("R3C",'Mapa final'!#REF!),"")</f>
        <v>#REF!</v>
      </c>
      <c r="Q48" s="136" t="e">
        <f>IF(AND('Mapa final'!#REF!="Muy Baja",'Mapa final'!#REF!="Menor"),CONCATENATE("R3C",'Mapa final'!#REF!),"")</f>
        <v>#REF!</v>
      </c>
      <c r="R48" s="136" t="e">
        <f>IF(AND('Mapa final'!#REF!="Muy Baja",'Mapa final'!#REF!="Menor"),CONCATENATE("R3C",'Mapa final'!#REF!),"")</f>
        <v>#REF!</v>
      </c>
      <c r="S48" s="136" t="e">
        <f>IF(AND('Mapa final'!#REF!="Muy Baja",'Mapa final'!#REF!="Menor"),CONCATENATE("R3C",'Mapa final'!#REF!),"")</f>
        <v>#REF!</v>
      </c>
      <c r="T48" s="136" t="e">
        <f>IF(AND('Mapa final'!#REF!="Muy Baja",'Mapa final'!#REF!="Menor"),CONCATENATE("R3C",'Mapa final'!#REF!),"")</f>
        <v>#REF!</v>
      </c>
      <c r="U48" s="137" t="e">
        <f>IF(AND('Mapa final'!#REF!="Muy Baja",'Mapa final'!#REF!="Menor"),CONCATENATE("R3C",'Mapa final'!#REF!),"")</f>
        <v>#REF!</v>
      </c>
      <c r="V48" s="114" t="e">
        <f>IF(AND('Mapa final'!#REF!="Muy Baja",'Mapa final'!#REF!="Moderado"),CONCATENATE("R3C",'Mapa final'!#REF!),"")</f>
        <v>#REF!</v>
      </c>
      <c r="W48" s="127" t="e">
        <f>IF(AND('Mapa final'!#REF!="Muy Baja",'Mapa final'!#REF!="Moderado"),CONCATENATE("R3C",'Mapa final'!#REF!),"")</f>
        <v>#REF!</v>
      </c>
      <c r="X48" s="127" t="e">
        <f>IF(AND('Mapa final'!#REF!="Muy Baja",'Mapa final'!#REF!="Moderado"),CONCATENATE("R3C",'Mapa final'!#REF!),"")</f>
        <v>#REF!</v>
      </c>
      <c r="Y48" s="127" t="e">
        <f>IF(AND('Mapa final'!#REF!="Muy Baja",'Mapa final'!#REF!="Moderado"),CONCATENATE("R3C",'Mapa final'!#REF!),"")</f>
        <v>#REF!</v>
      </c>
      <c r="Z48" s="127" t="e">
        <f>IF(AND('Mapa final'!#REF!="Muy Baja",'Mapa final'!#REF!="Moderado"),CONCATENATE("R3C",'Mapa final'!#REF!),"")</f>
        <v>#REF!</v>
      </c>
      <c r="AA48" s="128" t="e">
        <f>IF(AND('Mapa final'!#REF!="Muy Baja",'Mapa final'!#REF!="Moderado"),CONCATENATE("R3C",'Mapa final'!#REF!),"")</f>
        <v>#REF!</v>
      </c>
      <c r="AB48" s="107" t="e">
        <f>IF(AND('Mapa final'!#REF!="Muy Baja",'Mapa final'!#REF!="Mayor"),CONCATENATE("R3C",'Mapa final'!#REF!),"")</f>
        <v>#REF!</v>
      </c>
      <c r="AC48" s="108" t="e">
        <f>IF(AND('Mapa final'!#REF!="Muy Baja",'Mapa final'!#REF!="Mayor"),CONCATENATE("R3C",'Mapa final'!#REF!),"")</f>
        <v>#REF!</v>
      </c>
      <c r="AD48" s="108" t="e">
        <f>IF(AND('Mapa final'!#REF!="Muy Baja",'Mapa final'!#REF!="Mayor"),CONCATENATE("R3C",'Mapa final'!#REF!),"")</f>
        <v>#REF!</v>
      </c>
      <c r="AE48" s="108" t="e">
        <f>IF(AND('Mapa final'!#REF!="Muy Baja",'Mapa final'!#REF!="Mayor"),CONCATENATE("R3C",'Mapa final'!#REF!),"")</f>
        <v>#REF!</v>
      </c>
      <c r="AF48" s="108" t="e">
        <f>IF(AND('Mapa final'!#REF!="Muy Baja",'Mapa final'!#REF!="Mayor"),CONCATENATE("R3C",'Mapa final'!#REF!),"")</f>
        <v>#REF!</v>
      </c>
      <c r="AG48" s="109" t="e">
        <f>IF(AND('Mapa final'!#REF!="Muy Baja",'Mapa final'!#REF!="Mayor"),CONCATENATE("R3C",'Mapa final'!#REF!),"")</f>
        <v>#REF!</v>
      </c>
      <c r="AH48" s="118" t="e">
        <f>IF(AND('Mapa final'!#REF!="Muy Baja",'Mapa final'!#REF!="Catastrófico"),CONCATENATE("R3C",'Mapa final'!#REF!),"")</f>
        <v>#REF!</v>
      </c>
      <c r="AI48" s="119" t="e">
        <f>IF(AND('Mapa final'!#REF!="Muy Baja",'Mapa final'!#REF!="Catastrófico"),CONCATENATE("R3C",'Mapa final'!#REF!),"")</f>
        <v>#REF!</v>
      </c>
      <c r="AJ48" s="119" t="e">
        <f>IF(AND('Mapa final'!#REF!="Muy Baja",'Mapa final'!#REF!="Catastrófico"),CONCATENATE("R3C",'Mapa final'!#REF!),"")</f>
        <v>#REF!</v>
      </c>
      <c r="AK48" s="119" t="e">
        <f>IF(AND('Mapa final'!#REF!="Muy Baja",'Mapa final'!#REF!="Catastrófico"),CONCATENATE("R3C",'Mapa final'!#REF!),"")</f>
        <v>#REF!</v>
      </c>
      <c r="AL48" s="119" t="e">
        <f>IF(AND('Mapa final'!#REF!="Muy Baja",'Mapa final'!#REF!="Catastrófico"),CONCATENATE("R3C",'Mapa final'!#REF!),"")</f>
        <v>#REF!</v>
      </c>
      <c r="AM48" s="120" t="e">
        <f>IF(AND('Mapa final'!#REF!="Muy Baja",'Mapa final'!#REF!="Catastrófico"),CONCATENATE("R3C",'Mapa final'!#REF!),"")</f>
        <v>#REF!</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row>
    <row r="49" spans="1:80" ht="20.100000000000001" customHeight="1" x14ac:dyDescent="0.3">
      <c r="A49" s="50"/>
      <c r="B49" s="257"/>
      <c r="C49" s="257"/>
      <c r="D49" s="258"/>
      <c r="E49" s="358"/>
      <c r="F49" s="359"/>
      <c r="G49" s="359"/>
      <c r="H49" s="359"/>
      <c r="I49" s="373"/>
      <c r="J49" s="135" t="e">
        <f>IF(AND('Mapa final'!#REF!="Muy Baja",'Mapa final'!#REF!="Leve"),CONCATENATE("R4C",'Mapa final'!#REF!),"")</f>
        <v>#REF!</v>
      </c>
      <c r="K49" s="136" t="e">
        <f>IF(AND('Mapa final'!#REF!="Muy Baja",'Mapa final'!#REF!="Leve"),CONCATENATE("R4C",'Mapa final'!#REF!),"")</f>
        <v>#REF!</v>
      </c>
      <c r="L49" s="136" t="e">
        <f>IF(AND('Mapa final'!#REF!="Muy Baja",'Mapa final'!#REF!="Leve"),CONCATENATE("R4C",'Mapa final'!#REF!),"")</f>
        <v>#REF!</v>
      </c>
      <c r="M49" s="136" t="e">
        <f>IF(AND('Mapa final'!#REF!="Muy Baja",'Mapa final'!#REF!="Leve"),CONCATENATE("R4C",'Mapa final'!#REF!),"")</f>
        <v>#REF!</v>
      </c>
      <c r="N49" s="136" t="e">
        <f>IF(AND('Mapa final'!#REF!="Muy Baja",'Mapa final'!#REF!="Leve"),CONCATENATE("R4C",'Mapa final'!#REF!),"")</f>
        <v>#REF!</v>
      </c>
      <c r="O49" s="137" t="e">
        <f>IF(AND('Mapa final'!#REF!="Muy Baja",'Mapa final'!#REF!="Leve"),CONCATENATE("R4C",'Mapa final'!#REF!),"")</f>
        <v>#REF!</v>
      </c>
      <c r="P49" s="135" t="e">
        <f>IF(AND('Mapa final'!#REF!="Muy Baja",'Mapa final'!#REF!="Menor"),CONCATENATE("R4C",'Mapa final'!#REF!),"")</f>
        <v>#REF!</v>
      </c>
      <c r="Q49" s="136" t="e">
        <f>IF(AND('Mapa final'!#REF!="Muy Baja",'Mapa final'!#REF!="Menor"),CONCATENATE("R4C",'Mapa final'!#REF!),"")</f>
        <v>#REF!</v>
      </c>
      <c r="R49" s="136" t="e">
        <f>IF(AND('Mapa final'!#REF!="Muy Baja",'Mapa final'!#REF!="Menor"),CONCATENATE("R4C",'Mapa final'!#REF!),"")</f>
        <v>#REF!</v>
      </c>
      <c r="S49" s="136" t="e">
        <f>IF(AND('Mapa final'!#REF!="Muy Baja",'Mapa final'!#REF!="Menor"),CONCATENATE("R4C",'Mapa final'!#REF!),"")</f>
        <v>#REF!</v>
      </c>
      <c r="T49" s="136" t="e">
        <f>IF(AND('Mapa final'!#REF!="Muy Baja",'Mapa final'!#REF!="Menor"),CONCATENATE("R4C",'Mapa final'!#REF!),"")</f>
        <v>#REF!</v>
      </c>
      <c r="U49" s="137" t="e">
        <f>IF(AND('Mapa final'!#REF!="Muy Baja",'Mapa final'!#REF!="Menor"),CONCATENATE("R4C",'Mapa final'!#REF!),"")</f>
        <v>#REF!</v>
      </c>
      <c r="V49" s="114" t="e">
        <f>IF(AND('Mapa final'!#REF!="Muy Baja",'Mapa final'!#REF!="Moderado"),CONCATENATE("R4C",'Mapa final'!#REF!),"")</f>
        <v>#REF!</v>
      </c>
      <c r="W49" s="127" t="e">
        <f>IF(AND('Mapa final'!#REF!="Muy Baja",'Mapa final'!#REF!="Moderado"),CONCATENATE("R4C",'Mapa final'!#REF!),"")</f>
        <v>#REF!</v>
      </c>
      <c r="X49" s="127" t="e">
        <f>IF(AND('Mapa final'!#REF!="Muy Baja",'Mapa final'!#REF!="Moderado"),CONCATENATE("R4C",'Mapa final'!#REF!),"")</f>
        <v>#REF!</v>
      </c>
      <c r="Y49" s="127" t="e">
        <f>IF(AND('Mapa final'!#REF!="Muy Baja",'Mapa final'!#REF!="Moderado"),CONCATENATE("R4C",'Mapa final'!#REF!),"")</f>
        <v>#REF!</v>
      </c>
      <c r="Z49" s="127" t="e">
        <f>IF(AND('Mapa final'!#REF!="Muy Baja",'Mapa final'!#REF!="Moderado"),CONCATENATE("R4C",'Mapa final'!#REF!),"")</f>
        <v>#REF!</v>
      </c>
      <c r="AA49" s="128" t="e">
        <f>IF(AND('Mapa final'!#REF!="Muy Baja",'Mapa final'!#REF!="Moderado"),CONCATENATE("R4C",'Mapa final'!#REF!),"")</f>
        <v>#REF!</v>
      </c>
      <c r="AB49" s="107" t="e">
        <f>IF(AND('Mapa final'!#REF!="Muy Baja",'Mapa final'!#REF!="Mayor"),CONCATENATE("R4C",'Mapa final'!#REF!),"")</f>
        <v>#REF!</v>
      </c>
      <c r="AC49" s="108" t="e">
        <f>IF(AND('Mapa final'!#REF!="Muy Baja",'Mapa final'!#REF!="Mayor"),CONCATENATE("R4C",'Mapa final'!#REF!),"")</f>
        <v>#REF!</v>
      </c>
      <c r="AD49" s="108" t="e">
        <f>IF(AND('Mapa final'!#REF!="Muy Baja",'Mapa final'!#REF!="Mayor"),CONCATENATE("R4C",'Mapa final'!#REF!),"")</f>
        <v>#REF!</v>
      </c>
      <c r="AE49" s="108" t="e">
        <f>IF(AND('Mapa final'!#REF!="Muy Baja",'Mapa final'!#REF!="Mayor"),CONCATENATE("R4C",'Mapa final'!#REF!),"")</f>
        <v>#REF!</v>
      </c>
      <c r="AF49" s="108" t="e">
        <f>IF(AND('Mapa final'!#REF!="Muy Baja",'Mapa final'!#REF!="Mayor"),CONCATENATE("R4C",'Mapa final'!#REF!),"")</f>
        <v>#REF!</v>
      </c>
      <c r="AG49" s="109" t="e">
        <f>IF(AND('Mapa final'!#REF!="Muy Baja",'Mapa final'!#REF!="Mayor"),CONCATENATE("R4C",'Mapa final'!#REF!),"")</f>
        <v>#REF!</v>
      </c>
      <c r="AH49" s="118" t="e">
        <f>IF(AND('Mapa final'!#REF!="Muy Baja",'Mapa final'!#REF!="Catastrófico"),CONCATENATE("R4C",'Mapa final'!#REF!),"")</f>
        <v>#REF!</v>
      </c>
      <c r="AI49" s="119" t="e">
        <f>IF(AND('Mapa final'!#REF!="Muy Baja",'Mapa final'!#REF!="Catastrófico"),CONCATENATE("R4C",'Mapa final'!#REF!),"")</f>
        <v>#REF!</v>
      </c>
      <c r="AJ49" s="119" t="e">
        <f>IF(AND('Mapa final'!#REF!="Muy Baja",'Mapa final'!#REF!="Catastrófico"),CONCATENATE("R4C",'Mapa final'!#REF!),"")</f>
        <v>#REF!</v>
      </c>
      <c r="AK49" s="119" t="e">
        <f>IF(AND('Mapa final'!#REF!="Muy Baja",'Mapa final'!#REF!="Catastrófico"),CONCATENATE("R4C",'Mapa final'!#REF!),"")</f>
        <v>#REF!</v>
      </c>
      <c r="AL49" s="119" t="e">
        <f>IF(AND('Mapa final'!#REF!="Muy Baja",'Mapa final'!#REF!="Catastrófico"),CONCATENATE("R4C",'Mapa final'!#REF!),"")</f>
        <v>#REF!</v>
      </c>
      <c r="AM49" s="120" t="e">
        <f>IF(AND('Mapa final'!#REF!="Muy Baja",'Mapa final'!#REF!="Catastrófico"),CONCATENATE("R4C",'Mapa final'!#REF!),"")</f>
        <v>#REF!</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row>
    <row r="50" spans="1:80" ht="20.100000000000001" customHeight="1" x14ac:dyDescent="0.3">
      <c r="A50" s="50"/>
      <c r="B50" s="257"/>
      <c r="C50" s="257"/>
      <c r="D50" s="258"/>
      <c r="E50" s="358"/>
      <c r="F50" s="359"/>
      <c r="G50" s="359"/>
      <c r="H50" s="359"/>
      <c r="I50" s="373"/>
      <c r="J50" s="135" t="str">
        <f>IF(AND('Mapa final'!$X$23="Muy Baja",'Mapa final'!$Z$23="Leve"),CONCATENATE("R5C",'Mapa final'!$N$23),"")</f>
        <v/>
      </c>
      <c r="K50" s="136" t="str">
        <f>IF(AND('Mapa final'!$X$24="Muy Baja",'Mapa final'!$Z$24="Leve"),CONCATENATE("R5C",'Mapa final'!$N$24),"")</f>
        <v/>
      </c>
      <c r="L50" s="136" t="str">
        <f>IF(AND('Mapa final'!$X$25="Muy Baja",'Mapa final'!$Z$25="Leve"),CONCATENATE("R5C",'Mapa final'!$N$25),"")</f>
        <v/>
      </c>
      <c r="M50" s="136" t="str">
        <f>IF(AND('Mapa final'!$X$26="Muy Baja",'Mapa final'!$Z$26="Leve"),CONCATENATE("R5C",'Mapa final'!$N$26),"")</f>
        <v/>
      </c>
      <c r="N50" s="136" t="str">
        <f>IF(AND('Mapa final'!$X$27="Muy Baja",'Mapa final'!$Z$27="Leve"),CONCATENATE("R5C",'Mapa final'!$N$27),"")</f>
        <v/>
      </c>
      <c r="O50" s="137" t="str">
        <f>IF(AND('Mapa final'!$X$28="Muy Baja",'Mapa final'!$Z$28="Leve"),CONCATENATE("R5C",'Mapa final'!$N$28),"")</f>
        <v/>
      </c>
      <c r="P50" s="135" t="str">
        <f>IF(AND('Mapa final'!$X$23="Muy Baja",'Mapa final'!$Z$23="Menor"),CONCATENATE("R5C",'Mapa final'!$N$23),"")</f>
        <v/>
      </c>
      <c r="Q50" s="136" t="str">
        <f>IF(AND('Mapa final'!$X$24="Muy Baja",'Mapa final'!$Z$24="Menor"),CONCATENATE("R5C",'Mapa final'!$N$24),"")</f>
        <v/>
      </c>
      <c r="R50" s="136" t="str">
        <f>IF(AND('Mapa final'!$X$25="Muy Baja",'Mapa final'!$Z$25="Menor"),CONCATENATE("R5C",'Mapa final'!$N$25),"")</f>
        <v/>
      </c>
      <c r="S50" s="136" t="str">
        <f>IF(AND('Mapa final'!$X$26="Muy Baja",'Mapa final'!$Z$26="Menor"),CONCATENATE("R5C",'Mapa final'!$N$26),"")</f>
        <v/>
      </c>
      <c r="T50" s="136" t="str">
        <f>IF(AND('Mapa final'!$X$27="Muy Baja",'Mapa final'!$Z$27="Menor"),CONCATENATE("R5C",'Mapa final'!$N$27),"")</f>
        <v/>
      </c>
      <c r="U50" s="137" t="str">
        <f>IF(AND('Mapa final'!$X$28="Muy Baja",'Mapa final'!$Z$28="Menor"),CONCATENATE("R5C",'Mapa final'!$N$28),"")</f>
        <v/>
      </c>
      <c r="V50" s="114" t="str">
        <f>IF(AND('Mapa final'!$X$23="Muy Baja",'Mapa final'!$Z$23="Moderado"),CONCATENATE("R5C",'Mapa final'!$N$23),"")</f>
        <v/>
      </c>
      <c r="W50" s="127" t="str">
        <f>IF(AND('Mapa final'!$X$24="Muy Baja",'Mapa final'!$Z$24="Moderado"),CONCATENATE("R5C",'Mapa final'!$N$24),"")</f>
        <v/>
      </c>
      <c r="X50" s="127" t="str">
        <f>IF(AND('Mapa final'!$X$25="Muy Baja",'Mapa final'!$Z$25="Moderado"),CONCATENATE("R5C",'Mapa final'!$N$25),"")</f>
        <v/>
      </c>
      <c r="Y50" s="127" t="str">
        <f>IF(AND('Mapa final'!$X$26="Muy Baja",'Mapa final'!$Z$26="Moderado"),CONCATENATE("R5C",'Mapa final'!$N$26),"")</f>
        <v/>
      </c>
      <c r="Z50" s="127" t="str">
        <f>IF(AND('Mapa final'!$X$27="Muy Baja",'Mapa final'!$Z$27="Moderado"),CONCATENATE("R5C",'Mapa final'!$N$27),"")</f>
        <v/>
      </c>
      <c r="AA50" s="128" t="str">
        <f>IF(AND('Mapa final'!$X$28="Muy Baja",'Mapa final'!$Z$28="Moderado"),CONCATENATE("R5C",'Mapa final'!$N$28),"")</f>
        <v/>
      </c>
      <c r="AB50" s="107" t="str">
        <f>IF(AND('Mapa final'!$X$23="Muy Baja",'Mapa final'!$Z$23="Mayor"),CONCATENATE("R5C",'Mapa final'!$N$23),"")</f>
        <v/>
      </c>
      <c r="AC50" s="108" t="str">
        <f>IF(AND('Mapa final'!$X$24="Muy Baja",'Mapa final'!$Z$24="Mayor"),CONCATENATE("R5C",'Mapa final'!$N$24),"")</f>
        <v/>
      </c>
      <c r="AD50" s="110" t="str">
        <f>IF(AND('Mapa final'!$X$25="Muy Baja",'Mapa final'!$Z$25="Mayor"),CONCATENATE("R5C",'Mapa final'!$N$25),"")</f>
        <v>R5C3</v>
      </c>
      <c r="AE50" s="110" t="str">
        <f>IF(AND('Mapa final'!$X$26="Muy Baja",'Mapa final'!$Z$26="Mayor"),CONCATENATE("R5C",'Mapa final'!$N$26),"")</f>
        <v>R5C4</v>
      </c>
      <c r="AF50" s="110" t="str">
        <f>IF(AND('Mapa final'!$X$27="Muy Baja",'Mapa final'!$Z$27="Mayor"),CONCATENATE("R5C",'Mapa final'!$N$27),"")</f>
        <v/>
      </c>
      <c r="AG50" s="109" t="str">
        <f>IF(AND('Mapa final'!$X$28="Muy Baja",'Mapa final'!$Z$28="Mayor"),CONCATENATE("R5C",'Mapa final'!$N$28),"")</f>
        <v/>
      </c>
      <c r="AH50" s="118" t="str">
        <f>IF(AND('Mapa final'!$X$23="Muy Baja",'Mapa final'!$Z$23="Catastrófico"),CONCATENATE("R5C",'Mapa final'!$N$23),"")</f>
        <v/>
      </c>
      <c r="AI50" s="119" t="str">
        <f>IF(AND('Mapa final'!$X$24="Muy Baja",'Mapa final'!$Z$24="Catastrófico"),CONCATENATE("R5C",'Mapa final'!$N$24),"")</f>
        <v/>
      </c>
      <c r="AJ50" s="119" t="str">
        <f>IF(AND('Mapa final'!$X$25="Muy Baja",'Mapa final'!$Z$25="Catastrófico"),CONCATENATE("R5C",'Mapa final'!$N$25),"")</f>
        <v/>
      </c>
      <c r="AK50" s="119" t="str">
        <f>IF(AND('Mapa final'!$X$26="Muy Baja",'Mapa final'!$Z$26="Catastrófico"),CONCATENATE("R5C",'Mapa final'!$N$26),"")</f>
        <v/>
      </c>
      <c r="AL50" s="119" t="str">
        <f>IF(AND('Mapa final'!$X$27="Muy Baja",'Mapa final'!$Z$27="Catastrófico"),CONCATENATE("R5C",'Mapa final'!$N$27),"")</f>
        <v/>
      </c>
      <c r="AM50" s="120" t="str">
        <f>IF(AND('Mapa final'!$X$28="Muy Baja",'Mapa final'!$Z$28="Catastrófico"),CONCATENATE("R5C",'Mapa final'!$N$28),"")</f>
        <v/>
      </c>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row>
    <row r="51" spans="1:80" ht="20.100000000000001" customHeight="1" x14ac:dyDescent="0.3">
      <c r="A51" s="50"/>
      <c r="B51" s="257"/>
      <c r="C51" s="257"/>
      <c r="D51" s="258"/>
      <c r="E51" s="358"/>
      <c r="F51" s="359"/>
      <c r="G51" s="359"/>
      <c r="H51" s="359"/>
      <c r="I51" s="373"/>
      <c r="J51" s="135" t="str">
        <f>IF(AND('Mapa final'!$X$29="Muy Baja",'Mapa final'!$Z$29="Leve"),CONCATENATE("R6C",'Mapa final'!$N$29),"")</f>
        <v/>
      </c>
      <c r="K51" s="136" t="str">
        <f>IF(AND('Mapa final'!$X$30="Muy Baja",'Mapa final'!$Z$30="Leve"),CONCATENATE("R6C",'Mapa final'!$N$30),"")</f>
        <v/>
      </c>
      <c r="L51" s="136" t="str">
        <f>IF(AND('Mapa final'!$X$31="Muy Baja",'Mapa final'!$Z$31="Leve"),CONCATENATE("R6C",'Mapa final'!$N$31),"")</f>
        <v/>
      </c>
      <c r="M51" s="136" t="str">
        <f>IF(AND('Mapa final'!$X$32="Muy Baja",'Mapa final'!$Z$32="Leve"),CONCATENATE("R6C",'Mapa final'!$N$32),"")</f>
        <v/>
      </c>
      <c r="N51" s="136" t="str">
        <f>IF(AND('Mapa final'!$X$33="Muy Baja",'Mapa final'!$Z$33="Leve"),CONCATENATE("R6C",'Mapa final'!$N$33),"")</f>
        <v/>
      </c>
      <c r="O51" s="137" t="str">
        <f>IF(AND('Mapa final'!$X$34="Muy Baja",'Mapa final'!$Z$34="Leve"),CONCATENATE("R6C",'Mapa final'!$N$34),"")</f>
        <v/>
      </c>
      <c r="P51" s="135" t="str">
        <f>IF(AND('Mapa final'!$X$29="Muy Baja",'Mapa final'!$Z$29="Menor"),CONCATENATE("R6C",'Mapa final'!$N$29),"")</f>
        <v/>
      </c>
      <c r="Q51" s="136" t="str">
        <f>IF(AND('Mapa final'!$X$30="Muy Baja",'Mapa final'!$Z$30="Menor"),CONCATENATE("R6C",'Mapa final'!$N$30),"")</f>
        <v/>
      </c>
      <c r="R51" s="136" t="str">
        <f>IF(AND('Mapa final'!$X$31="Muy Baja",'Mapa final'!$Z$31="Menor"),CONCATENATE("R6C",'Mapa final'!$N$31),"")</f>
        <v/>
      </c>
      <c r="S51" s="136" t="str">
        <f>IF(AND('Mapa final'!$X$32="Muy Baja",'Mapa final'!$Z$32="Menor"),CONCATENATE("R6C",'Mapa final'!$N$32),"")</f>
        <v/>
      </c>
      <c r="T51" s="136" t="str">
        <f>IF(AND('Mapa final'!$X$33="Muy Baja",'Mapa final'!$Z$33="Menor"),CONCATENATE("R6C",'Mapa final'!$N$33),"")</f>
        <v/>
      </c>
      <c r="U51" s="137" t="str">
        <f>IF(AND('Mapa final'!$X$34="Muy Baja",'Mapa final'!$Z$34="Menor"),CONCATENATE("R6C",'Mapa final'!$N$34),"")</f>
        <v/>
      </c>
      <c r="V51" s="114" t="str">
        <f>IF(AND('Mapa final'!$X$29="Muy Baja",'Mapa final'!$Z$29="Moderado"),CONCATENATE("R6C",'Mapa final'!$N$29),"")</f>
        <v/>
      </c>
      <c r="W51" s="127" t="str">
        <f>IF(AND('Mapa final'!$X$30="Muy Baja",'Mapa final'!$Z$30="Moderado"),CONCATENATE("R6C",'Mapa final'!$N$30),"")</f>
        <v/>
      </c>
      <c r="X51" s="127" t="str">
        <f>IF(AND('Mapa final'!$X$31="Muy Baja",'Mapa final'!$Z$31="Moderado"),CONCATENATE("R6C",'Mapa final'!$N$31),"")</f>
        <v/>
      </c>
      <c r="Y51" s="127" t="str">
        <f>IF(AND('Mapa final'!$X$32="Muy Baja",'Mapa final'!$Z$32="Moderado"),CONCATENATE("R6C",'Mapa final'!$N$32),"")</f>
        <v/>
      </c>
      <c r="Z51" s="127" t="str">
        <f>IF(AND('Mapa final'!$X$33="Muy Baja",'Mapa final'!$Z$33="Moderado"),CONCATENATE("R6C",'Mapa final'!$N$33),"")</f>
        <v/>
      </c>
      <c r="AA51" s="128" t="str">
        <f>IF(AND('Mapa final'!$X$34="Muy Baja",'Mapa final'!$Z$34="Moderado"),CONCATENATE("R6C",'Mapa final'!$N$34),"")</f>
        <v/>
      </c>
      <c r="AB51" s="107" t="str">
        <f>IF(AND('Mapa final'!$X$29="Muy Baja",'Mapa final'!$Z$29="Mayor"),CONCATENATE("R6C",'Mapa final'!$N$29),"")</f>
        <v/>
      </c>
      <c r="AC51" s="108" t="str">
        <f>IF(AND('Mapa final'!$X$30="Muy Baja",'Mapa final'!$Z$30="Mayor"),CONCATENATE("R6C",'Mapa final'!$N$30),"")</f>
        <v/>
      </c>
      <c r="AD51" s="110" t="str">
        <f>IF(AND('Mapa final'!$X$31="Muy Baja",'Mapa final'!$Z$31="Mayor"),CONCATENATE("R6C",'Mapa final'!$N$31),"")</f>
        <v>R6C3</v>
      </c>
      <c r="AE51" s="110" t="str">
        <f>IF(AND('Mapa final'!$X$32="Muy Baja",'Mapa final'!$Z$32="Mayor"),CONCATENATE("R6C",'Mapa final'!$N$32),"")</f>
        <v>R6C4</v>
      </c>
      <c r="AF51" s="110" t="str">
        <f>IF(AND('Mapa final'!$X$33="Muy Baja",'Mapa final'!$Z$33="Mayor"),CONCATENATE("R6C",'Mapa final'!$N$33),"")</f>
        <v/>
      </c>
      <c r="AG51" s="109" t="str">
        <f>IF(AND('Mapa final'!$X$34="Muy Baja",'Mapa final'!$Z$34="Mayor"),CONCATENATE("R6C",'Mapa final'!$N$34),"")</f>
        <v/>
      </c>
      <c r="AH51" s="118" t="str">
        <f>IF(AND('Mapa final'!$X$29="Muy Baja",'Mapa final'!$Z$29="Catastrófico"),CONCATENATE("R6C",'Mapa final'!$N$29),"")</f>
        <v/>
      </c>
      <c r="AI51" s="119" t="str">
        <f>IF(AND('Mapa final'!$X$30="Muy Baja",'Mapa final'!$Z$30="Catastrófico"),CONCATENATE("R6C",'Mapa final'!$N$30),"")</f>
        <v/>
      </c>
      <c r="AJ51" s="119" t="str">
        <f>IF(AND('Mapa final'!$X$31="Muy Baja",'Mapa final'!$Z$31="Catastrófico"),CONCATENATE("R6C",'Mapa final'!$N$31),"")</f>
        <v/>
      </c>
      <c r="AK51" s="119" t="str">
        <f>IF(AND('Mapa final'!$X$32="Muy Baja",'Mapa final'!$Z$32="Catastrófico"),CONCATENATE("R6C",'Mapa final'!$N$32),"")</f>
        <v/>
      </c>
      <c r="AL51" s="119" t="str">
        <f>IF(AND('Mapa final'!$X$33="Muy Baja",'Mapa final'!$Z$33="Catastrófico"),CONCATENATE("R6C",'Mapa final'!$N$33),"")</f>
        <v/>
      </c>
      <c r="AM51" s="120" t="str">
        <f>IF(AND('Mapa final'!$X$34="Muy Baja",'Mapa final'!$Z$34="Catastrófico"),CONCATENATE("R6C",'Mapa final'!$N$34),"")</f>
        <v/>
      </c>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row>
    <row r="52" spans="1:80" ht="20.100000000000001" customHeight="1" x14ac:dyDescent="0.3">
      <c r="A52" s="50"/>
      <c r="B52" s="257"/>
      <c r="C52" s="257"/>
      <c r="D52" s="258"/>
      <c r="E52" s="358"/>
      <c r="F52" s="359"/>
      <c r="G52" s="359"/>
      <c r="H52" s="359"/>
      <c r="I52" s="373"/>
      <c r="J52" s="135" t="str">
        <f>IF(AND('Mapa final'!$X$35="Muy Baja",'Mapa final'!$Z$35="Leve"),CONCATENATE("R7C",'Mapa final'!$N$35),"")</f>
        <v/>
      </c>
      <c r="K52" s="136" t="str">
        <f>IF(AND('Mapa final'!$X$36="Muy Baja",'Mapa final'!$Z$36="Leve"),CONCATENATE("R7C",'Mapa final'!$N$36),"")</f>
        <v/>
      </c>
      <c r="L52" s="136" t="str">
        <f>IF(AND('Mapa final'!$X$37="Muy Baja",'Mapa final'!$Z$37="Leve"),CONCATENATE("R7C",'Mapa final'!$N$37),"")</f>
        <v/>
      </c>
      <c r="M52" s="136" t="str">
        <f>IF(AND('Mapa final'!$X$38="Muy Baja",'Mapa final'!$Z$38="Leve"),CONCATENATE("R7C",'Mapa final'!$N$38),"")</f>
        <v/>
      </c>
      <c r="N52" s="136" t="str">
        <f>IF(AND('Mapa final'!$X$39="Muy Baja",'Mapa final'!$Z$39="Leve"),CONCATENATE("R7C",'Mapa final'!$N$39),"")</f>
        <v/>
      </c>
      <c r="O52" s="137" t="str">
        <f>IF(AND('Mapa final'!$X$40="Muy Baja",'Mapa final'!$Z$40="Leve"),CONCATENATE("R7C",'Mapa final'!$N$40),"")</f>
        <v/>
      </c>
      <c r="P52" s="135" t="str">
        <f>IF(AND('Mapa final'!$X$35="Muy Baja",'Mapa final'!$Z$35="Menor"),CONCATENATE("R7C",'Mapa final'!$N$35),"")</f>
        <v/>
      </c>
      <c r="Q52" s="136" t="str">
        <f>IF(AND('Mapa final'!$X$36="Muy Baja",'Mapa final'!$Z$36="Menor"),CONCATENATE("R7C",'Mapa final'!$N$36),"")</f>
        <v/>
      </c>
      <c r="R52" s="136" t="str">
        <f>IF(AND('Mapa final'!$X$37="Muy Baja",'Mapa final'!$Z$37="Menor"),CONCATENATE("R7C",'Mapa final'!$N$37),"")</f>
        <v/>
      </c>
      <c r="S52" s="136" t="str">
        <f>IF(AND('Mapa final'!$X$38="Muy Baja",'Mapa final'!$Z$38="Menor"),CONCATENATE("R7C",'Mapa final'!$N$38),"")</f>
        <v/>
      </c>
      <c r="T52" s="136" t="str">
        <f>IF(AND('Mapa final'!$X$39="Muy Baja",'Mapa final'!$Z$39="Menor"),CONCATENATE("R7C",'Mapa final'!$N$39),"")</f>
        <v/>
      </c>
      <c r="U52" s="137" t="str">
        <f>IF(AND('Mapa final'!$X$40="Muy Baja",'Mapa final'!$Z$40="Menor"),CONCATENATE("R7C",'Mapa final'!$N$40),"")</f>
        <v/>
      </c>
      <c r="V52" s="114" t="str">
        <f>IF(AND('Mapa final'!$X$35="Muy Baja",'Mapa final'!$Z$35="Moderado"),CONCATENATE("R7C",'Mapa final'!$N$35),"")</f>
        <v/>
      </c>
      <c r="W52" s="127" t="str">
        <f>IF(AND('Mapa final'!$X$36="Muy Baja",'Mapa final'!$Z$36="Moderado"),CONCATENATE("R7C",'Mapa final'!$N$36),"")</f>
        <v/>
      </c>
      <c r="X52" s="127" t="str">
        <f>IF(AND('Mapa final'!$X$37="Muy Baja",'Mapa final'!$Z$37="Moderado"),CONCATENATE("R7C",'Mapa final'!$N$37),"")</f>
        <v/>
      </c>
      <c r="Y52" s="127" t="str">
        <f>IF(AND('Mapa final'!$X$38="Muy Baja",'Mapa final'!$Z$38="Moderado"),CONCATENATE("R7C",'Mapa final'!$N$38),"")</f>
        <v/>
      </c>
      <c r="Z52" s="127" t="str">
        <f>IF(AND('Mapa final'!$X$39="Muy Baja",'Mapa final'!$Z$39="Moderado"),CONCATENATE("R7C",'Mapa final'!$N$39),"")</f>
        <v/>
      </c>
      <c r="AA52" s="128" t="str">
        <f>IF(AND('Mapa final'!$X$40="Muy Baja",'Mapa final'!$Z$40="Moderado"),CONCATENATE("R7C",'Mapa final'!$N$40),"")</f>
        <v/>
      </c>
      <c r="AB52" s="107" t="str">
        <f>IF(AND('Mapa final'!$X$35="Muy Baja",'Mapa final'!$Z$35="Mayor"),CONCATENATE("R7C",'Mapa final'!$N$35),"")</f>
        <v/>
      </c>
      <c r="AC52" s="108" t="str">
        <f>IF(AND('Mapa final'!$X$36="Muy Baja",'Mapa final'!$Z$36="Mayor"),CONCATENATE("R7C",'Mapa final'!$N$36),"")</f>
        <v/>
      </c>
      <c r="AD52" s="110" t="str">
        <f>IF(AND('Mapa final'!$X$37="Muy Baja",'Mapa final'!$Z$37="Mayor"),CONCATENATE("R7C",'Mapa final'!$N$37),"")</f>
        <v>R7C3</v>
      </c>
      <c r="AE52" s="110" t="str">
        <f>IF(AND('Mapa final'!$X$38="Muy Baja",'Mapa final'!$Z$38="Mayor"),CONCATENATE("R7C",'Mapa final'!$N$38),"")</f>
        <v>R7C4</v>
      </c>
      <c r="AF52" s="110" t="str">
        <f>IF(AND('Mapa final'!$X$39="Muy Baja",'Mapa final'!$Z$39="Mayor"),CONCATENATE("R7C",'Mapa final'!$N$39),"")</f>
        <v/>
      </c>
      <c r="AG52" s="109" t="str">
        <f>IF(AND('Mapa final'!$X$40="Muy Baja",'Mapa final'!$Z$40="Mayor"),CONCATENATE("R7C",'Mapa final'!$N$40),"")</f>
        <v/>
      </c>
      <c r="AH52" s="118" t="str">
        <f>IF(AND('Mapa final'!$X$35="Muy Baja",'Mapa final'!$Z$35="Catastrófico"),CONCATENATE("R7C",'Mapa final'!$N$35),"")</f>
        <v/>
      </c>
      <c r="AI52" s="119" t="str">
        <f>IF(AND('Mapa final'!$X$36="Muy Baja",'Mapa final'!$Z$36="Catastrófico"),CONCATENATE("R7C",'Mapa final'!$N$36),"")</f>
        <v/>
      </c>
      <c r="AJ52" s="119" t="str">
        <f>IF(AND('Mapa final'!$X$37="Muy Baja",'Mapa final'!$Z$37="Catastrófico"),CONCATENATE("R7C",'Mapa final'!$N$37),"")</f>
        <v/>
      </c>
      <c r="AK52" s="119" t="str">
        <f>IF(AND('Mapa final'!$X$38="Muy Baja",'Mapa final'!$Z$38="Catastrófico"),CONCATENATE("R7C",'Mapa final'!$N$38),"")</f>
        <v/>
      </c>
      <c r="AL52" s="119" t="str">
        <f>IF(AND('Mapa final'!$X$39="Muy Baja",'Mapa final'!$Z$39="Catastrófico"),CONCATENATE("R7C",'Mapa final'!$N$39),"")</f>
        <v/>
      </c>
      <c r="AM52" s="120" t="str">
        <f>IF(AND('Mapa final'!$X$40="Muy Baja",'Mapa final'!$Z$40="Catastrófico"),CONCATENATE("R7C",'Mapa final'!$N$40),"")</f>
        <v/>
      </c>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row>
    <row r="53" spans="1:80" ht="20.100000000000001" customHeight="1" x14ac:dyDescent="0.3">
      <c r="A53" s="50"/>
      <c r="B53" s="257"/>
      <c r="C53" s="257"/>
      <c r="D53" s="258"/>
      <c r="E53" s="358"/>
      <c r="F53" s="359"/>
      <c r="G53" s="359"/>
      <c r="H53" s="359"/>
      <c r="I53" s="373"/>
      <c r="J53" s="135" t="str">
        <f>IF(AND('Mapa final'!$X$41="Muy Baja",'Mapa final'!$Z$41="Leve"),CONCATENATE("R8C",'Mapa final'!$N$41),"")</f>
        <v/>
      </c>
      <c r="K53" s="136" t="str">
        <f>IF(AND('Mapa final'!$X$42="Muy Baja",'Mapa final'!$Z$42="Leve"),CONCATENATE("R8C",'Mapa final'!$N$42),"")</f>
        <v/>
      </c>
      <c r="L53" s="136" t="str">
        <f>IF(AND('Mapa final'!$X$43="Muy Baja",'Mapa final'!$Z$43="Leve"),CONCATENATE("R8C",'Mapa final'!$N$43),"")</f>
        <v/>
      </c>
      <c r="M53" s="136" t="str">
        <f>IF(AND('Mapa final'!$X$44="Muy Baja",'Mapa final'!$Z$44="Leve"),CONCATENATE("R8C",'Mapa final'!$N$44),"")</f>
        <v/>
      </c>
      <c r="N53" s="136" t="str">
        <f>IF(AND('Mapa final'!$X$45="Muy Baja",'Mapa final'!$Z$45="Leve"),CONCATENATE("R8C",'Mapa final'!$N$45),"")</f>
        <v/>
      </c>
      <c r="O53" s="137" t="str">
        <f>IF(AND('Mapa final'!$X$46="Muy Baja",'Mapa final'!$Z$46="Leve"),CONCATENATE("R8C",'Mapa final'!$N$46),"")</f>
        <v/>
      </c>
      <c r="P53" s="135" t="str">
        <f>IF(AND('Mapa final'!$X$41="Muy Baja",'Mapa final'!$Z$41="Menor"),CONCATENATE("R8C",'Mapa final'!$N$41),"")</f>
        <v/>
      </c>
      <c r="Q53" s="136" t="str">
        <f>IF(AND('Mapa final'!$X$42="Muy Baja",'Mapa final'!$Z$42="Menor"),CONCATENATE("R8C",'Mapa final'!$N$42),"")</f>
        <v/>
      </c>
      <c r="R53" s="136" t="str">
        <f>IF(AND('Mapa final'!$X$43="Muy Baja",'Mapa final'!$Z$43="Menor"),CONCATENATE("R8C",'Mapa final'!$N$43),"")</f>
        <v/>
      </c>
      <c r="S53" s="136" t="str">
        <f>IF(AND('Mapa final'!$X$44="Muy Baja",'Mapa final'!$Z$44="Menor"),CONCATENATE("R8C",'Mapa final'!$N$44),"")</f>
        <v/>
      </c>
      <c r="T53" s="136" t="str">
        <f>IF(AND('Mapa final'!$X$45="Muy Baja",'Mapa final'!$Z$45="Menor"),CONCATENATE("R8C",'Mapa final'!$N$45),"")</f>
        <v/>
      </c>
      <c r="U53" s="137" t="str">
        <f>IF(AND('Mapa final'!$X$46="Muy Baja",'Mapa final'!$Z$46="Menor"),CONCATENATE("R8C",'Mapa final'!$N$46),"")</f>
        <v/>
      </c>
      <c r="V53" s="114" t="str">
        <f>IF(AND('Mapa final'!$X$41="Muy Baja",'Mapa final'!$Z$41="Moderado"),CONCATENATE("R8C",'Mapa final'!$N$41),"")</f>
        <v/>
      </c>
      <c r="W53" s="127" t="str">
        <f>IF(AND('Mapa final'!$X$42="Muy Baja",'Mapa final'!$Z$42="Moderado"),CONCATENATE("R8C",'Mapa final'!$N$42),"")</f>
        <v/>
      </c>
      <c r="X53" s="127" t="str">
        <f>IF(AND('Mapa final'!$X$43="Muy Baja",'Mapa final'!$Z$43="Moderado"),CONCATENATE("R8C",'Mapa final'!$N$43),"")</f>
        <v/>
      </c>
      <c r="Y53" s="127" t="str">
        <f>IF(AND('Mapa final'!$X$44="Muy Baja",'Mapa final'!$Z$44="Moderado"),CONCATENATE("R8C",'Mapa final'!$N$44),"")</f>
        <v/>
      </c>
      <c r="Z53" s="127" t="str">
        <f>IF(AND('Mapa final'!$X$45="Muy Baja",'Mapa final'!$Z$45="Moderado"),CONCATENATE("R8C",'Mapa final'!$N$45),"")</f>
        <v/>
      </c>
      <c r="AA53" s="128" t="str">
        <f>IF(AND('Mapa final'!$X$46="Muy Baja",'Mapa final'!$Z$46="Moderado"),CONCATENATE("R8C",'Mapa final'!$N$46),"")</f>
        <v/>
      </c>
      <c r="AB53" s="107" t="str">
        <f>IF(AND('Mapa final'!$X$41="Muy Baja",'Mapa final'!$Z$41="Mayor"),CONCATENATE("R8C",'Mapa final'!$N$41),"")</f>
        <v/>
      </c>
      <c r="AC53" s="108" t="str">
        <f>IF(AND('Mapa final'!$X$42="Muy Baja",'Mapa final'!$Z$42="Mayor"),CONCATENATE("R8C",'Mapa final'!$N$42),"")</f>
        <v/>
      </c>
      <c r="AD53" s="110" t="str">
        <f>IF(AND('Mapa final'!$X$43="Muy Baja",'Mapa final'!$Z$43="Mayor"),CONCATENATE("R8C",'Mapa final'!$N$43),"")</f>
        <v/>
      </c>
      <c r="AE53" s="110" t="str">
        <f>IF(AND('Mapa final'!$X$44="Muy Baja",'Mapa final'!$Z$44="Mayor"),CONCATENATE("R8C",'Mapa final'!$N$44),"")</f>
        <v/>
      </c>
      <c r="AF53" s="110" t="str">
        <f>IF(AND('Mapa final'!$X$45="Muy Baja",'Mapa final'!$Z$45="Mayor"),CONCATENATE("R8C",'Mapa final'!$N$45),"")</f>
        <v/>
      </c>
      <c r="AG53" s="109" t="str">
        <f>IF(AND('Mapa final'!$X$46="Muy Baja",'Mapa final'!$Z$46="Mayor"),CONCATENATE("R8C",'Mapa final'!$N$46),"")</f>
        <v/>
      </c>
      <c r="AH53" s="118" t="str">
        <f>IF(AND('Mapa final'!$X$41="Muy Baja",'Mapa final'!$Z$41="Catastrófico"),CONCATENATE("R8C",'Mapa final'!$N$41),"")</f>
        <v/>
      </c>
      <c r="AI53" s="119" t="str">
        <f>IF(AND('Mapa final'!$X$42="Muy Baja",'Mapa final'!$Z$42="Catastrófico"),CONCATENATE("R8C",'Mapa final'!$N$42),"")</f>
        <v/>
      </c>
      <c r="AJ53" s="119" t="str">
        <f>IF(AND('Mapa final'!$X$43="Muy Baja",'Mapa final'!$Z$43="Catastrófico"),CONCATENATE("R8C",'Mapa final'!$N$43),"")</f>
        <v/>
      </c>
      <c r="AK53" s="119" t="str">
        <f>IF(AND('Mapa final'!$X$44="Muy Baja",'Mapa final'!$Z$44="Catastrófico"),CONCATENATE("R8C",'Mapa final'!$N$44),"")</f>
        <v/>
      </c>
      <c r="AL53" s="119" t="str">
        <f>IF(AND('Mapa final'!$X$45="Muy Baja",'Mapa final'!$Z$45="Catastrófico"),CONCATENATE("R8C",'Mapa final'!$N$45),"")</f>
        <v/>
      </c>
      <c r="AM53" s="120" t="str">
        <f>IF(AND('Mapa final'!$X$46="Muy Baja",'Mapa final'!$Z$46="Catastrófico"),CONCATENATE("R8C",'Mapa final'!$N$46),"")</f>
        <v/>
      </c>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row>
    <row r="54" spans="1:80" ht="20.100000000000001" customHeight="1" x14ac:dyDescent="0.3">
      <c r="A54" s="50"/>
      <c r="B54" s="257"/>
      <c r="C54" s="257"/>
      <c r="D54" s="258"/>
      <c r="E54" s="358"/>
      <c r="F54" s="359"/>
      <c r="G54" s="359"/>
      <c r="H54" s="359"/>
      <c r="I54" s="373"/>
      <c r="J54" s="135" t="str">
        <f>IF(AND('Mapa final'!$X$47="Muy Baja",'Mapa final'!$Z$47="Leve"),CONCATENATE("R9C",'Mapa final'!$N$47),"")</f>
        <v/>
      </c>
      <c r="K54" s="136" t="str">
        <f>IF(AND('Mapa final'!$X$48="Muy Baja",'Mapa final'!$Z$48="Leve"),CONCATENATE("R9C",'Mapa final'!$N$48),"")</f>
        <v/>
      </c>
      <c r="L54" s="136" t="str">
        <f>IF(AND('Mapa final'!$X$49="Muy Baja",'Mapa final'!$Z$49="Leve"),CONCATENATE("R9C",'Mapa final'!$N$49),"")</f>
        <v/>
      </c>
      <c r="M54" s="136" t="str">
        <f>IF(AND('Mapa final'!$X$50="Muy Baja",'Mapa final'!$Z$50="Leve"),CONCATENATE("R9C",'Mapa final'!$N$50),"")</f>
        <v/>
      </c>
      <c r="N54" s="136" t="str">
        <f>IF(AND('Mapa final'!$X$51="Muy Baja",'Mapa final'!$Z$51="Leve"),CONCATENATE("R9C",'Mapa final'!$N$51),"")</f>
        <v/>
      </c>
      <c r="O54" s="137" t="str">
        <f>IF(AND('Mapa final'!$X$52="Muy Baja",'Mapa final'!$Z$52="Leve"),CONCATENATE("R9C",'Mapa final'!$N$52),"")</f>
        <v/>
      </c>
      <c r="P54" s="135" t="str">
        <f>IF(AND('Mapa final'!$X$47="Muy Baja",'Mapa final'!$Z$47="Menor"),CONCATENATE("R9C",'Mapa final'!$N$47),"")</f>
        <v/>
      </c>
      <c r="Q54" s="136" t="str">
        <f>IF(AND('Mapa final'!$X$48="Muy Baja",'Mapa final'!$Z$48="Menor"),CONCATENATE("R9C",'Mapa final'!$N$48),"")</f>
        <v/>
      </c>
      <c r="R54" s="136" t="str">
        <f>IF(AND('Mapa final'!$X$49="Muy Baja",'Mapa final'!$Z$49="Menor"),CONCATENATE("R9C",'Mapa final'!$N$49),"")</f>
        <v/>
      </c>
      <c r="S54" s="136" t="str">
        <f>IF(AND('Mapa final'!$X$50="Muy Baja",'Mapa final'!$Z$50="Menor"),CONCATENATE("R9C",'Mapa final'!$N$50),"")</f>
        <v/>
      </c>
      <c r="T54" s="136" t="str">
        <f>IF(AND('Mapa final'!$X$51="Muy Baja",'Mapa final'!$Z$51="Menor"),CONCATENATE("R9C",'Mapa final'!$N$51),"")</f>
        <v/>
      </c>
      <c r="U54" s="137" t="str">
        <f>IF(AND('Mapa final'!$X$52="Muy Baja",'Mapa final'!$Z$52="Menor"),CONCATENATE("R9C",'Mapa final'!$N$52),"")</f>
        <v/>
      </c>
      <c r="V54" s="114" t="str">
        <f>IF(AND('Mapa final'!$X$47="Muy Baja",'Mapa final'!$Z$47="Moderado"),CONCATENATE("R9C",'Mapa final'!$N$47),"")</f>
        <v/>
      </c>
      <c r="W54" s="127" t="str">
        <f>IF(AND('Mapa final'!$X$48="Muy Baja",'Mapa final'!$Z$48="Moderado"),CONCATENATE("R9C",'Mapa final'!$N$48),"")</f>
        <v/>
      </c>
      <c r="X54" s="127" t="str">
        <f>IF(AND('Mapa final'!$X$49="Muy Baja",'Mapa final'!$Z$49="Moderado"),CONCATENATE("R9C",'Mapa final'!$N$49),"")</f>
        <v/>
      </c>
      <c r="Y54" s="127" t="str">
        <f>IF(AND('Mapa final'!$X$50="Muy Baja",'Mapa final'!$Z$50="Moderado"),CONCATENATE("R9C",'Mapa final'!$N$50),"")</f>
        <v/>
      </c>
      <c r="Z54" s="127" t="str">
        <f>IF(AND('Mapa final'!$X$51="Muy Baja",'Mapa final'!$Z$51="Moderado"),CONCATENATE("R9C",'Mapa final'!$N$51),"")</f>
        <v/>
      </c>
      <c r="AA54" s="128" t="str">
        <f>IF(AND('Mapa final'!$X$52="Muy Baja",'Mapa final'!$Z$52="Moderado"),CONCATENATE("R9C",'Mapa final'!$N$52),"")</f>
        <v/>
      </c>
      <c r="AB54" s="107" t="str">
        <f>IF(AND('Mapa final'!$X$47="Muy Baja",'Mapa final'!$Z$47="Mayor"),CONCATENATE("R9C",'Mapa final'!$N$47),"")</f>
        <v/>
      </c>
      <c r="AC54" s="108" t="str">
        <f>IF(AND('Mapa final'!$X$48="Muy Baja",'Mapa final'!$Z$48="Mayor"),CONCATENATE("R9C",'Mapa final'!$N$48),"")</f>
        <v/>
      </c>
      <c r="AD54" s="110" t="str">
        <f>IF(AND('Mapa final'!$X$49="Muy Baja",'Mapa final'!$Z$49="Mayor"),CONCATENATE("R9C",'Mapa final'!$N$49),"")</f>
        <v/>
      </c>
      <c r="AE54" s="110" t="str">
        <f>IF(AND('Mapa final'!$X$50="Muy Baja",'Mapa final'!$Z$50="Mayor"),CONCATENATE("R9C",'Mapa final'!$N$50),"")</f>
        <v/>
      </c>
      <c r="AF54" s="110" t="str">
        <f>IF(AND('Mapa final'!$X$51="Muy Baja",'Mapa final'!$Z$51="Mayor"),CONCATENATE("R9C",'Mapa final'!$N$51),"")</f>
        <v/>
      </c>
      <c r="AG54" s="109" t="str">
        <f>IF(AND('Mapa final'!$X$52="Muy Baja",'Mapa final'!$Z$52="Mayor"),CONCATENATE("R9C",'Mapa final'!$N$52),"")</f>
        <v/>
      </c>
      <c r="AH54" s="118" t="str">
        <f>IF(AND('Mapa final'!$X$47="Muy Baja",'Mapa final'!$Z$47="Catastrófico"),CONCATENATE("R9C",'Mapa final'!$N$47),"")</f>
        <v/>
      </c>
      <c r="AI54" s="119" t="str">
        <f>IF(AND('Mapa final'!$X$48="Muy Baja",'Mapa final'!$Z$48="Catastrófico"),CONCATENATE("R9C",'Mapa final'!$N$48),"")</f>
        <v/>
      </c>
      <c r="AJ54" s="119" t="str">
        <f>IF(AND('Mapa final'!$X$49="Muy Baja",'Mapa final'!$Z$49="Catastrófico"),CONCATENATE("R9C",'Mapa final'!$N$49),"")</f>
        <v/>
      </c>
      <c r="AK54" s="119" t="str">
        <f>IF(AND('Mapa final'!$X$50="Muy Baja",'Mapa final'!$Z$50="Catastrófico"),CONCATENATE("R9C",'Mapa final'!$N$50),"")</f>
        <v/>
      </c>
      <c r="AL54" s="119" t="str">
        <f>IF(AND('Mapa final'!$X$51="Muy Baja",'Mapa final'!$Z$51="Catastrófico"),CONCATENATE("R9C",'Mapa final'!$N$51),"")</f>
        <v/>
      </c>
      <c r="AM54" s="120" t="str">
        <f>IF(AND('Mapa final'!$X$52="Muy Baja",'Mapa final'!$Z$52="Catastrófico"),CONCATENATE("R9C",'Mapa final'!$N$52),"")</f>
        <v/>
      </c>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row>
    <row r="55" spans="1:80" ht="20.100000000000001" customHeight="1" thickBot="1" x14ac:dyDescent="0.35">
      <c r="A55" s="50"/>
      <c r="B55" s="257"/>
      <c r="C55" s="257"/>
      <c r="D55" s="258"/>
      <c r="E55" s="360"/>
      <c r="F55" s="361"/>
      <c r="G55" s="361"/>
      <c r="H55" s="361"/>
      <c r="I55" s="374"/>
      <c r="J55" s="138" t="str">
        <f>IF(AND('Mapa final'!$X$53="Muy Baja",'Mapa final'!$Z$53="Leve"),CONCATENATE("R10C",'Mapa final'!$N$53),"")</f>
        <v/>
      </c>
      <c r="K55" s="139" t="str">
        <f>IF(AND('Mapa final'!$X$54="Muy Baja",'Mapa final'!$Z$54="Leve"),CONCATENATE("R10C",'Mapa final'!$N$54),"")</f>
        <v/>
      </c>
      <c r="L55" s="139" t="str">
        <f>IF(AND('Mapa final'!$X$55="Muy Baja",'Mapa final'!$Z$55="Leve"),CONCATENATE("R10C",'Mapa final'!$N$55),"")</f>
        <v/>
      </c>
      <c r="M55" s="139" t="str">
        <f>IF(AND('Mapa final'!$X$56="Muy Baja",'Mapa final'!$Z$56="Leve"),CONCATENATE("R10C",'Mapa final'!$N$56),"")</f>
        <v/>
      </c>
      <c r="N55" s="139" t="str">
        <f>IF(AND('Mapa final'!$X$57="Muy Baja",'Mapa final'!$Z$57="Leve"),CONCATENATE("R10C",'Mapa final'!$N$57),"")</f>
        <v/>
      </c>
      <c r="O55" s="140" t="str">
        <f>IF(AND('Mapa final'!$X$58="Muy Baja",'Mapa final'!$Z$58="Leve"),CONCATENATE("R10C",'Mapa final'!$N$58),"")</f>
        <v/>
      </c>
      <c r="P55" s="138" t="str">
        <f>IF(AND('Mapa final'!$X$53="Muy Baja",'Mapa final'!$Z$53="Menor"),CONCATENATE("R10C",'Mapa final'!$N$53),"")</f>
        <v/>
      </c>
      <c r="Q55" s="139" t="str">
        <f>IF(AND('Mapa final'!$X$54="Muy Baja",'Mapa final'!$Z$54="Menor"),CONCATENATE("R10C",'Mapa final'!$N$54),"")</f>
        <v/>
      </c>
      <c r="R55" s="139" t="str">
        <f>IF(AND('Mapa final'!$X$55="Muy Baja",'Mapa final'!$Z$55="Menor"),CONCATENATE("R10C",'Mapa final'!$N$55),"")</f>
        <v/>
      </c>
      <c r="S55" s="139" t="str">
        <f>IF(AND('Mapa final'!$X$56="Muy Baja",'Mapa final'!$Z$56="Menor"),CONCATENATE("R10C",'Mapa final'!$N$56),"")</f>
        <v/>
      </c>
      <c r="T55" s="139" t="str">
        <f>IF(AND('Mapa final'!$X$57="Muy Baja",'Mapa final'!$Z$57="Menor"),CONCATENATE("R10C",'Mapa final'!$N$57),"")</f>
        <v/>
      </c>
      <c r="U55" s="140" t="str">
        <f>IF(AND('Mapa final'!$X$58="Muy Baja",'Mapa final'!$Z$58="Menor"),CONCATENATE("R10C",'Mapa final'!$N$58),"")</f>
        <v/>
      </c>
      <c r="V55" s="129" t="str">
        <f>IF(AND('Mapa final'!$X$53="Muy Baja",'Mapa final'!$Z$53="Moderado"),CONCATENATE("R10C",'Mapa final'!$N$53),"")</f>
        <v/>
      </c>
      <c r="W55" s="130" t="str">
        <f>IF(AND('Mapa final'!$X$54="Muy Baja",'Mapa final'!$Z$54="Moderado"),CONCATENATE("R10C",'Mapa final'!$N$54),"")</f>
        <v/>
      </c>
      <c r="X55" s="130" t="str">
        <f>IF(AND('Mapa final'!$X$55="Muy Baja",'Mapa final'!$Z$55="Moderado"),CONCATENATE("R10C",'Mapa final'!$N$55),"")</f>
        <v/>
      </c>
      <c r="Y55" s="130" t="str">
        <f>IF(AND('Mapa final'!$X$56="Muy Baja",'Mapa final'!$Z$56="Moderado"),CONCATENATE("R10C",'Mapa final'!$N$56),"")</f>
        <v/>
      </c>
      <c r="Z55" s="130" t="str">
        <f>IF(AND('Mapa final'!$X$57="Muy Baja",'Mapa final'!$Z$57="Moderado"),CONCATENATE("R10C",'Mapa final'!$N$57),"")</f>
        <v/>
      </c>
      <c r="AA55" s="131" t="str">
        <f>IF(AND('Mapa final'!$X$58="Muy Baja",'Mapa final'!$Z$58="Moderado"),CONCATENATE("R10C",'Mapa final'!$N$58),"")</f>
        <v/>
      </c>
      <c r="AB55" s="111" t="str">
        <f>IF(AND('Mapa final'!$X$53="Muy Baja",'Mapa final'!$Z$53="Mayor"),CONCATENATE("R10C",'Mapa final'!$N$53),"")</f>
        <v/>
      </c>
      <c r="AC55" s="112" t="str">
        <f>IF(AND('Mapa final'!$X$54="Muy Baja",'Mapa final'!$Z$54="Mayor"),CONCATENATE("R10C",'Mapa final'!$N$54),"")</f>
        <v/>
      </c>
      <c r="AD55" s="112" t="str">
        <f>IF(AND('Mapa final'!$X$55="Muy Baja",'Mapa final'!$Z$55="Mayor"),CONCATENATE("R10C",'Mapa final'!$N$55),"")</f>
        <v/>
      </c>
      <c r="AE55" s="112" t="str">
        <f>IF(AND('Mapa final'!$X$56="Muy Baja",'Mapa final'!$Z$56="Mayor"),CONCATENATE("R10C",'Mapa final'!$N$56),"")</f>
        <v/>
      </c>
      <c r="AF55" s="112" t="str">
        <f>IF(AND('Mapa final'!$X$57="Muy Baja",'Mapa final'!$Z$57="Mayor"),CONCATENATE("R10C",'Mapa final'!$N$57),"")</f>
        <v/>
      </c>
      <c r="AG55" s="113" t="str">
        <f>IF(AND('Mapa final'!$X$58="Muy Baja",'Mapa final'!$Z$58="Mayor"),CONCATENATE("R10C",'Mapa final'!$N$58),"")</f>
        <v/>
      </c>
      <c r="AH55" s="121" t="str">
        <f>IF(AND('Mapa final'!$X$53="Muy Baja",'Mapa final'!$Z$53="Catastrófico"),CONCATENATE("R10C",'Mapa final'!$N$53),"")</f>
        <v/>
      </c>
      <c r="AI55" s="122" t="str">
        <f>IF(AND('Mapa final'!$X$54="Muy Baja",'Mapa final'!$Z$54="Catastrófico"),CONCATENATE("R10C",'Mapa final'!$N$54),"")</f>
        <v/>
      </c>
      <c r="AJ55" s="122" t="str">
        <f>IF(AND('Mapa final'!$X$55="Muy Baja",'Mapa final'!$Z$55="Catastrófico"),CONCATENATE("R10C",'Mapa final'!$N$55),"")</f>
        <v/>
      </c>
      <c r="AK55" s="122" t="str">
        <f>IF(AND('Mapa final'!$X$56="Muy Baja",'Mapa final'!$Z$56="Catastrófico"),CONCATENATE("R10C",'Mapa final'!$N$56),"")</f>
        <v/>
      </c>
      <c r="AL55" s="122" t="str">
        <f>IF(AND('Mapa final'!$X$57="Muy Baja",'Mapa final'!$Z$57="Catastrófico"),CONCATENATE("R10C",'Mapa final'!$N$57),"")</f>
        <v/>
      </c>
      <c r="AM55" s="123" t="str">
        <f>IF(AND('Mapa final'!$X$58="Muy Baja",'Mapa final'!$Z$58="Catastrófico"),CONCATENATE("R10C",'Mapa final'!$N$58),"")</f>
        <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row>
    <row r="56" spans="1:80" x14ac:dyDescent="0.3">
      <c r="A56" s="50"/>
      <c r="B56" s="50"/>
      <c r="C56" s="50"/>
      <c r="D56" s="50"/>
      <c r="E56" s="50"/>
      <c r="F56" s="50"/>
      <c r="G56" s="50"/>
      <c r="H56" s="50"/>
      <c r="I56" s="50"/>
      <c r="J56" s="354" t="s">
        <v>110</v>
      </c>
      <c r="K56" s="355"/>
      <c r="L56" s="355"/>
      <c r="M56" s="355"/>
      <c r="N56" s="355"/>
      <c r="O56" s="372"/>
      <c r="P56" s="354" t="s">
        <v>109</v>
      </c>
      <c r="Q56" s="355"/>
      <c r="R56" s="355"/>
      <c r="S56" s="355"/>
      <c r="T56" s="355"/>
      <c r="U56" s="372"/>
      <c r="V56" s="354" t="s">
        <v>108</v>
      </c>
      <c r="W56" s="355"/>
      <c r="X56" s="355"/>
      <c r="Y56" s="355"/>
      <c r="Z56" s="355"/>
      <c r="AA56" s="372"/>
      <c r="AB56" s="354" t="s">
        <v>107</v>
      </c>
      <c r="AC56" s="393"/>
      <c r="AD56" s="355"/>
      <c r="AE56" s="355"/>
      <c r="AF56" s="355"/>
      <c r="AG56" s="372"/>
      <c r="AH56" s="354" t="s">
        <v>106</v>
      </c>
      <c r="AI56" s="355"/>
      <c r="AJ56" s="355"/>
      <c r="AK56" s="355"/>
      <c r="AL56" s="355"/>
      <c r="AM56" s="372"/>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row>
    <row r="57" spans="1:80" x14ac:dyDescent="0.3">
      <c r="A57" s="50"/>
      <c r="B57" s="50"/>
      <c r="C57" s="50"/>
      <c r="D57" s="50"/>
      <c r="E57" s="50"/>
      <c r="F57" s="50"/>
      <c r="G57" s="50"/>
      <c r="H57" s="50"/>
      <c r="I57" s="50"/>
      <c r="J57" s="358"/>
      <c r="K57" s="359"/>
      <c r="L57" s="359"/>
      <c r="M57" s="359"/>
      <c r="N57" s="359"/>
      <c r="O57" s="373"/>
      <c r="P57" s="358"/>
      <c r="Q57" s="359"/>
      <c r="R57" s="359"/>
      <c r="S57" s="359"/>
      <c r="T57" s="359"/>
      <c r="U57" s="373"/>
      <c r="V57" s="358"/>
      <c r="W57" s="359"/>
      <c r="X57" s="359"/>
      <c r="Y57" s="359"/>
      <c r="Z57" s="359"/>
      <c r="AA57" s="373"/>
      <c r="AB57" s="358"/>
      <c r="AC57" s="359"/>
      <c r="AD57" s="359"/>
      <c r="AE57" s="359"/>
      <c r="AF57" s="359"/>
      <c r="AG57" s="373"/>
      <c r="AH57" s="358"/>
      <c r="AI57" s="359"/>
      <c r="AJ57" s="359"/>
      <c r="AK57" s="359"/>
      <c r="AL57" s="359"/>
      <c r="AM57" s="373"/>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row>
    <row r="58" spans="1:80" x14ac:dyDescent="0.3">
      <c r="A58" s="50"/>
      <c r="B58" s="50"/>
      <c r="C58" s="50"/>
      <c r="D58" s="50"/>
      <c r="E58" s="50"/>
      <c r="F58" s="50"/>
      <c r="G58" s="50"/>
      <c r="H58" s="50"/>
      <c r="I58" s="50"/>
      <c r="J58" s="358"/>
      <c r="K58" s="359"/>
      <c r="L58" s="359"/>
      <c r="M58" s="359"/>
      <c r="N58" s="359"/>
      <c r="O58" s="373"/>
      <c r="P58" s="358"/>
      <c r="Q58" s="359"/>
      <c r="R58" s="359"/>
      <c r="S58" s="359"/>
      <c r="T58" s="359"/>
      <c r="U58" s="373"/>
      <c r="V58" s="358"/>
      <c r="W58" s="359"/>
      <c r="X58" s="359"/>
      <c r="Y58" s="359"/>
      <c r="Z58" s="359"/>
      <c r="AA58" s="373"/>
      <c r="AB58" s="358"/>
      <c r="AC58" s="359"/>
      <c r="AD58" s="359"/>
      <c r="AE58" s="359"/>
      <c r="AF58" s="359"/>
      <c r="AG58" s="373"/>
      <c r="AH58" s="358"/>
      <c r="AI58" s="359"/>
      <c r="AJ58" s="359"/>
      <c r="AK58" s="359"/>
      <c r="AL58" s="359"/>
      <c r="AM58" s="373"/>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row>
    <row r="59" spans="1:80" x14ac:dyDescent="0.3">
      <c r="A59" s="50"/>
      <c r="B59" s="50"/>
      <c r="C59" s="50"/>
      <c r="D59" s="50"/>
      <c r="E59" s="50"/>
      <c r="F59" s="50"/>
      <c r="G59" s="50"/>
      <c r="H59" s="50"/>
      <c r="I59" s="50"/>
      <c r="J59" s="358"/>
      <c r="K59" s="359"/>
      <c r="L59" s="359"/>
      <c r="M59" s="359"/>
      <c r="N59" s="359"/>
      <c r="O59" s="373"/>
      <c r="P59" s="358"/>
      <c r="Q59" s="359"/>
      <c r="R59" s="359"/>
      <c r="S59" s="359"/>
      <c r="T59" s="359"/>
      <c r="U59" s="373"/>
      <c r="V59" s="358"/>
      <c r="W59" s="359"/>
      <c r="X59" s="359"/>
      <c r="Y59" s="359"/>
      <c r="Z59" s="359"/>
      <c r="AA59" s="373"/>
      <c r="AB59" s="358"/>
      <c r="AC59" s="359"/>
      <c r="AD59" s="359"/>
      <c r="AE59" s="359"/>
      <c r="AF59" s="359"/>
      <c r="AG59" s="373"/>
      <c r="AH59" s="358"/>
      <c r="AI59" s="359"/>
      <c r="AJ59" s="359"/>
      <c r="AK59" s="359"/>
      <c r="AL59" s="359"/>
      <c r="AM59" s="373"/>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row>
    <row r="60" spans="1:80" x14ac:dyDescent="0.3">
      <c r="A60" s="50"/>
      <c r="B60" s="50"/>
      <c r="C60" s="50"/>
      <c r="D60" s="50"/>
      <c r="E60" s="50"/>
      <c r="F60" s="50"/>
      <c r="G60" s="50"/>
      <c r="H60" s="50"/>
      <c r="I60" s="50"/>
      <c r="J60" s="358"/>
      <c r="K60" s="359"/>
      <c r="L60" s="359"/>
      <c r="M60" s="359"/>
      <c r="N60" s="359"/>
      <c r="O60" s="373"/>
      <c r="P60" s="358"/>
      <c r="Q60" s="359"/>
      <c r="R60" s="359"/>
      <c r="S60" s="359"/>
      <c r="T60" s="359"/>
      <c r="U60" s="373"/>
      <c r="V60" s="358"/>
      <c r="W60" s="359"/>
      <c r="X60" s="359"/>
      <c r="Y60" s="359"/>
      <c r="Z60" s="359"/>
      <c r="AA60" s="373"/>
      <c r="AB60" s="358"/>
      <c r="AC60" s="359"/>
      <c r="AD60" s="359"/>
      <c r="AE60" s="359"/>
      <c r="AF60" s="359"/>
      <c r="AG60" s="373"/>
      <c r="AH60" s="358"/>
      <c r="AI60" s="359"/>
      <c r="AJ60" s="359"/>
      <c r="AK60" s="359"/>
      <c r="AL60" s="359"/>
      <c r="AM60" s="373"/>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row>
    <row r="61" spans="1:80" ht="15" thickBot="1" x14ac:dyDescent="0.35">
      <c r="A61" s="50"/>
      <c r="B61" s="50"/>
      <c r="C61" s="50"/>
      <c r="D61" s="50"/>
      <c r="E61" s="50"/>
      <c r="F61" s="50"/>
      <c r="G61" s="50"/>
      <c r="H61" s="50"/>
      <c r="I61" s="50"/>
      <c r="J61" s="360"/>
      <c r="K61" s="361"/>
      <c r="L61" s="361"/>
      <c r="M61" s="361"/>
      <c r="N61" s="361"/>
      <c r="O61" s="374"/>
      <c r="P61" s="360"/>
      <c r="Q61" s="361"/>
      <c r="R61" s="361"/>
      <c r="S61" s="361"/>
      <c r="T61" s="361"/>
      <c r="U61" s="374"/>
      <c r="V61" s="360"/>
      <c r="W61" s="361"/>
      <c r="X61" s="361"/>
      <c r="Y61" s="361"/>
      <c r="Z61" s="361"/>
      <c r="AA61" s="374"/>
      <c r="AB61" s="360"/>
      <c r="AC61" s="361"/>
      <c r="AD61" s="361"/>
      <c r="AE61" s="361"/>
      <c r="AF61" s="361"/>
      <c r="AG61" s="374"/>
      <c r="AH61" s="360"/>
      <c r="AI61" s="361"/>
      <c r="AJ61" s="361"/>
      <c r="AK61" s="361"/>
      <c r="AL61" s="361"/>
      <c r="AM61" s="374"/>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row>
    <row r="62" spans="1:80" x14ac:dyDescent="0.3">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row>
    <row r="63" spans="1:80" ht="15" customHeight="1" x14ac:dyDescent="0.3">
      <c r="A63" s="50"/>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0"/>
      <c r="AV63" s="50"/>
      <c r="AW63" s="50"/>
      <c r="AX63" s="50"/>
      <c r="AY63" s="50"/>
      <c r="AZ63" s="50"/>
      <c r="BA63" s="50"/>
      <c r="BB63" s="50"/>
      <c r="BC63" s="50"/>
      <c r="BD63" s="50"/>
      <c r="BE63" s="50"/>
      <c r="BF63" s="50"/>
      <c r="BG63" s="50"/>
      <c r="BH63" s="50"/>
    </row>
    <row r="64" spans="1:80" ht="15" customHeight="1" x14ac:dyDescent="0.3">
      <c r="A64" s="50"/>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0"/>
      <c r="AV64" s="50"/>
      <c r="AW64" s="50"/>
      <c r="AX64" s="50"/>
      <c r="AY64" s="50"/>
      <c r="AZ64" s="50"/>
      <c r="BA64" s="50"/>
      <c r="BB64" s="50"/>
      <c r="BC64" s="50"/>
      <c r="BD64" s="50"/>
      <c r="BE64" s="50"/>
      <c r="BF64" s="50"/>
      <c r="BG64" s="50"/>
      <c r="BH64" s="50"/>
    </row>
    <row r="65" spans="1:60" x14ac:dyDescent="0.3">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row>
    <row r="66" spans="1:60"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row>
    <row r="67" spans="1:60" x14ac:dyDescent="0.3">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row>
    <row r="68" spans="1:60" x14ac:dyDescent="0.3">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row>
    <row r="69" spans="1:60" x14ac:dyDescent="0.3">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row>
    <row r="70" spans="1:60" x14ac:dyDescent="0.3">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row>
    <row r="71" spans="1:60" x14ac:dyDescent="0.3">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row>
    <row r="72" spans="1:60" x14ac:dyDescent="0.3">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row>
    <row r="73" spans="1:60"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row>
    <row r="74" spans="1:60"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row>
    <row r="75" spans="1:60"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row>
    <row r="76" spans="1:60"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row>
    <row r="77" spans="1:60"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row>
    <row r="78" spans="1:60"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row>
    <row r="79" spans="1:60"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row>
    <row r="80" spans="1:60"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row>
    <row r="81" spans="1:60"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row>
    <row r="82" spans="1:60"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row>
    <row r="83" spans="1:60"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row>
    <row r="84" spans="1:60"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row>
    <row r="85" spans="1:60"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row>
    <row r="86" spans="1:60"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row>
    <row r="87" spans="1:60"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row>
    <row r="88" spans="1:60"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row>
    <row r="89" spans="1:60"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row>
    <row r="90" spans="1:60"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row>
    <row r="91" spans="1:60"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row>
    <row r="92" spans="1:60"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row>
    <row r="93" spans="1:60"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row>
    <row r="94" spans="1:60"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row>
    <row r="95" spans="1:60"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row>
    <row r="96" spans="1:60" x14ac:dyDescent="0.3">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row>
    <row r="97" spans="1:60" x14ac:dyDescent="0.3">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row>
    <row r="98" spans="1:60" x14ac:dyDescent="0.3">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row>
    <row r="99" spans="1:60" x14ac:dyDescent="0.3">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row>
    <row r="100" spans="1:60" x14ac:dyDescent="0.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row>
    <row r="101" spans="1:60" x14ac:dyDescent="0.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row>
    <row r="102" spans="1:60" x14ac:dyDescent="0.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row>
    <row r="103" spans="1:60" x14ac:dyDescent="0.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row>
    <row r="104" spans="1:60" x14ac:dyDescent="0.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row>
    <row r="105" spans="1:60" x14ac:dyDescent="0.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row>
    <row r="106" spans="1:60" x14ac:dyDescent="0.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row>
    <row r="107" spans="1:60" x14ac:dyDescent="0.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row>
    <row r="108" spans="1:60" x14ac:dyDescent="0.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row>
    <row r="109" spans="1:60" x14ac:dyDescent="0.3">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row>
    <row r="110" spans="1:60" x14ac:dyDescent="0.3">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row>
    <row r="111" spans="1:60" x14ac:dyDescent="0.3">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row>
    <row r="112" spans="1:60" x14ac:dyDescent="0.3">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row>
    <row r="113" spans="1:60" x14ac:dyDescent="0.3">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row>
    <row r="114" spans="1:60" x14ac:dyDescent="0.3">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row>
    <row r="115" spans="1:60" x14ac:dyDescent="0.3">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row>
    <row r="116" spans="1:60" x14ac:dyDescent="0.3">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row>
    <row r="117" spans="1:60" x14ac:dyDescent="0.3">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row>
    <row r="118" spans="1:60" x14ac:dyDescent="0.3">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row>
    <row r="119" spans="1:60" x14ac:dyDescent="0.3">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row>
    <row r="120" spans="1:60" x14ac:dyDescent="0.3">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row>
    <row r="121" spans="1:60" x14ac:dyDescent="0.3">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row>
    <row r="122" spans="1:60" x14ac:dyDescent="0.3">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row>
    <row r="123" spans="1:60" x14ac:dyDescent="0.3">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row>
    <row r="124" spans="1:60" x14ac:dyDescent="0.3">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row>
    <row r="125" spans="1:60" x14ac:dyDescent="0.3">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row>
    <row r="126" spans="1:60" x14ac:dyDescent="0.3">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row>
    <row r="127" spans="1:60" x14ac:dyDescent="0.3">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row>
    <row r="128" spans="1:60" x14ac:dyDescent="0.3">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row>
    <row r="129" spans="1:60" x14ac:dyDescent="0.3">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row>
    <row r="130" spans="1:60" x14ac:dyDescent="0.3">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row>
    <row r="131" spans="1:60" x14ac:dyDescent="0.3">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row>
    <row r="132" spans="1:60" x14ac:dyDescent="0.3">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row>
    <row r="133" spans="1:60" x14ac:dyDescent="0.3">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row>
    <row r="134" spans="1:60" x14ac:dyDescent="0.3">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row>
    <row r="135" spans="1:60" x14ac:dyDescent="0.3">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row>
    <row r="136" spans="1:60" x14ac:dyDescent="0.3">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row>
    <row r="137" spans="1:60" x14ac:dyDescent="0.3">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row>
    <row r="138" spans="1:60" x14ac:dyDescent="0.3">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row>
    <row r="139" spans="1:60" x14ac:dyDescent="0.3">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row>
    <row r="140" spans="1:60" x14ac:dyDescent="0.3">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row>
    <row r="141" spans="1:60" x14ac:dyDescent="0.3">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row>
    <row r="142" spans="1:60" x14ac:dyDescent="0.3">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row>
    <row r="143" spans="1:60" x14ac:dyDescent="0.3">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row>
    <row r="144" spans="1:60" x14ac:dyDescent="0.3">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row>
    <row r="145" spans="1:60" x14ac:dyDescent="0.3">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row>
    <row r="146" spans="1:60" x14ac:dyDescent="0.3">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row>
    <row r="147" spans="1:60" x14ac:dyDescent="0.3">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row>
    <row r="148" spans="1:60" x14ac:dyDescent="0.3">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row>
    <row r="149" spans="1:60" x14ac:dyDescent="0.3">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row>
    <row r="150" spans="1:60" x14ac:dyDescent="0.3">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row>
    <row r="151" spans="1:60" x14ac:dyDescent="0.3">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row>
    <row r="152" spans="1:60" x14ac:dyDescent="0.3">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row>
    <row r="153" spans="1:60" x14ac:dyDescent="0.3">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row>
    <row r="154" spans="1:60" x14ac:dyDescent="0.3">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row>
    <row r="155" spans="1:60" x14ac:dyDescent="0.3">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row>
    <row r="156" spans="1:60" x14ac:dyDescent="0.3">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row>
    <row r="157" spans="1:60" x14ac:dyDescent="0.3">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row>
    <row r="158" spans="1:60" x14ac:dyDescent="0.3">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row>
    <row r="159" spans="1:60" x14ac:dyDescent="0.3">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row>
    <row r="160" spans="1:60" x14ac:dyDescent="0.3">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row>
    <row r="161" spans="1:60" x14ac:dyDescent="0.3">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row>
    <row r="162" spans="1:60" x14ac:dyDescent="0.3">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row>
    <row r="163" spans="1:60" x14ac:dyDescent="0.3">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row>
    <row r="164" spans="1:60" x14ac:dyDescent="0.3">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row>
    <row r="165" spans="1:60" x14ac:dyDescent="0.3">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row>
    <row r="166" spans="1:60" x14ac:dyDescent="0.3">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row>
    <row r="167" spans="1:60" x14ac:dyDescent="0.3">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row>
    <row r="168" spans="1:60" x14ac:dyDescent="0.3">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row>
    <row r="169" spans="1:60" x14ac:dyDescent="0.3">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row>
    <row r="170" spans="1:60" x14ac:dyDescent="0.3">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row>
    <row r="171" spans="1:60" x14ac:dyDescent="0.3">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row>
    <row r="172" spans="1:60" x14ac:dyDescent="0.3">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row>
    <row r="173" spans="1:60" x14ac:dyDescent="0.3">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row>
    <row r="174" spans="1:60" x14ac:dyDescent="0.3">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row>
    <row r="175" spans="1:60" x14ac:dyDescent="0.3">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row>
    <row r="176" spans="1:60" x14ac:dyDescent="0.3">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row>
    <row r="177" spans="1:60" x14ac:dyDescent="0.3">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row>
    <row r="178" spans="1:60" x14ac:dyDescent="0.3">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row>
    <row r="179" spans="1:60" x14ac:dyDescent="0.3">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row>
    <row r="180" spans="1:60" x14ac:dyDescent="0.3">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row>
    <row r="181" spans="1:60" x14ac:dyDescent="0.3">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row>
    <row r="182" spans="1:60" x14ac:dyDescent="0.3">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row>
    <row r="183" spans="1:60" x14ac:dyDescent="0.3">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row>
    <row r="184" spans="1:60" x14ac:dyDescent="0.3">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row>
    <row r="185" spans="1:60" x14ac:dyDescent="0.3">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row>
    <row r="186" spans="1:60" x14ac:dyDescent="0.3">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row>
    <row r="187" spans="1:60" x14ac:dyDescent="0.3">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row>
    <row r="188" spans="1:60" x14ac:dyDescent="0.3">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row>
    <row r="189" spans="1:60" x14ac:dyDescent="0.3">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row>
    <row r="190" spans="1:60" x14ac:dyDescent="0.3">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row>
    <row r="191" spans="1:60" x14ac:dyDescent="0.3">
      <c r="A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row>
    <row r="192" spans="1:60" x14ac:dyDescent="0.3">
      <c r="A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row>
    <row r="193" spans="1:60" x14ac:dyDescent="0.3">
      <c r="A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row>
    <row r="194" spans="1:60" x14ac:dyDescent="0.3">
      <c r="A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row>
    <row r="195" spans="1:60" x14ac:dyDescent="0.3">
      <c r="A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row>
    <row r="196" spans="1:60" x14ac:dyDescent="0.3">
      <c r="A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row>
    <row r="197" spans="1:60" x14ac:dyDescent="0.3">
      <c r="A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row>
    <row r="198" spans="1:60" x14ac:dyDescent="0.3">
      <c r="A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row>
    <row r="199" spans="1:60" x14ac:dyDescent="0.3">
      <c r="A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row>
    <row r="200" spans="1:60" x14ac:dyDescent="0.3">
      <c r="A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row>
    <row r="201" spans="1:60" x14ac:dyDescent="0.3">
      <c r="A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row>
    <row r="202" spans="1:60" x14ac:dyDescent="0.3">
      <c r="A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row>
    <row r="203" spans="1:60" x14ac:dyDescent="0.3">
      <c r="A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row>
    <row r="204" spans="1:60" x14ac:dyDescent="0.3">
      <c r="A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row>
    <row r="205" spans="1:60" x14ac:dyDescent="0.3">
      <c r="A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row>
    <row r="206" spans="1:60" x14ac:dyDescent="0.3">
      <c r="A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row>
    <row r="207" spans="1:60" x14ac:dyDescent="0.3">
      <c r="A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row>
    <row r="208" spans="1:60" x14ac:dyDescent="0.3">
      <c r="A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row>
    <row r="209" spans="1:60" x14ac:dyDescent="0.3">
      <c r="A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row>
    <row r="210" spans="1:60" x14ac:dyDescent="0.3">
      <c r="A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row>
    <row r="211" spans="1:60" x14ac:dyDescent="0.3">
      <c r="A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row>
    <row r="212" spans="1:60" x14ac:dyDescent="0.3">
      <c r="A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row>
    <row r="213" spans="1:60" x14ac:dyDescent="0.3">
      <c r="A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row>
    <row r="214" spans="1:60" x14ac:dyDescent="0.3">
      <c r="A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row>
    <row r="215" spans="1:60" x14ac:dyDescent="0.3">
      <c r="A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row>
    <row r="216" spans="1:60" x14ac:dyDescent="0.3">
      <c r="A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row>
    <row r="217" spans="1:60" x14ac:dyDescent="0.3">
      <c r="A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row>
    <row r="218" spans="1:60" x14ac:dyDescent="0.3">
      <c r="A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row>
    <row r="219" spans="1:60" x14ac:dyDescent="0.3">
      <c r="A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row>
    <row r="220" spans="1:60" x14ac:dyDescent="0.3">
      <c r="A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row>
    <row r="221" spans="1:60" x14ac:dyDescent="0.3">
      <c r="A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row>
    <row r="222" spans="1:60" x14ac:dyDescent="0.3">
      <c r="A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row>
    <row r="223" spans="1:60" x14ac:dyDescent="0.3">
      <c r="A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row>
    <row r="224" spans="1:60" x14ac:dyDescent="0.3">
      <c r="A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row>
    <row r="225" spans="1:60" x14ac:dyDescent="0.3">
      <c r="A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row>
    <row r="226" spans="1:60" x14ac:dyDescent="0.3">
      <c r="A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row>
    <row r="227" spans="1:60" x14ac:dyDescent="0.3">
      <c r="A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row>
    <row r="228" spans="1:60" x14ac:dyDescent="0.3">
      <c r="A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row>
    <row r="229" spans="1:60" x14ac:dyDescent="0.3">
      <c r="A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row>
    <row r="230" spans="1:60" x14ac:dyDescent="0.3">
      <c r="A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row>
    <row r="231" spans="1:60" x14ac:dyDescent="0.3">
      <c r="A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row>
    <row r="232" spans="1:60" x14ac:dyDescent="0.3">
      <c r="A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row>
    <row r="233" spans="1:60" x14ac:dyDescent="0.3">
      <c r="A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row>
    <row r="234" spans="1:60" x14ac:dyDescent="0.3">
      <c r="A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row>
    <row r="235" spans="1:60" x14ac:dyDescent="0.3">
      <c r="A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row>
    <row r="236" spans="1:60" x14ac:dyDescent="0.3">
      <c r="A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row>
    <row r="237" spans="1:60" x14ac:dyDescent="0.3">
      <c r="A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row>
    <row r="238" spans="1:60" x14ac:dyDescent="0.3">
      <c r="A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row>
    <row r="239" spans="1:60" x14ac:dyDescent="0.3">
      <c r="A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row>
    <row r="240" spans="1:60" x14ac:dyDescent="0.3">
      <c r="A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row>
    <row r="241" spans="1:60" x14ac:dyDescent="0.3">
      <c r="A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row>
    <row r="242" spans="1:60" x14ac:dyDescent="0.3">
      <c r="A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row>
    <row r="243" spans="1:60" x14ac:dyDescent="0.3">
      <c r="A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row>
    <row r="244" spans="1:60" x14ac:dyDescent="0.3">
      <c r="A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row>
    <row r="245" spans="1:60" x14ac:dyDescent="0.3">
      <c r="A245" s="50"/>
    </row>
    <row r="246" spans="1:60" x14ac:dyDescent="0.3">
      <c r="A246" s="50"/>
    </row>
    <row r="247" spans="1:60" x14ac:dyDescent="0.3">
      <c r="A247" s="50"/>
    </row>
    <row r="248" spans="1:60" x14ac:dyDescent="0.3">
      <c r="A248" s="50"/>
    </row>
  </sheetData>
  <mergeCells count="17">
    <mergeCell ref="J56:O61"/>
    <mergeCell ref="P56:U61"/>
    <mergeCell ref="V56:AA61"/>
    <mergeCell ref="AB56:AG61"/>
    <mergeCell ref="AH56:AM61"/>
    <mergeCell ref="AO16:AT25"/>
    <mergeCell ref="E16:I25"/>
    <mergeCell ref="AO6:AT15"/>
    <mergeCell ref="B2:I5"/>
    <mergeCell ref="J2:AM5"/>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80" zoomScaleNormal="80" workbookViewId="0">
      <selection activeCell="C3" sqref="C3:D3"/>
    </sheetView>
  </sheetViews>
  <sheetFormatPr baseColWidth="10" defaultRowHeight="14.4" x14ac:dyDescent="0.3"/>
  <cols>
    <col min="2" max="2" width="24.109375" customWidth="1"/>
    <col min="3" max="3" width="70.109375" customWidth="1"/>
    <col min="4" max="4" width="29.88671875" customWidth="1"/>
  </cols>
  <sheetData>
    <row r="1" spans="1:37" ht="23.4" x14ac:dyDescent="0.3">
      <c r="A1" s="50"/>
      <c r="B1" s="394" t="s">
        <v>55</v>
      </c>
      <c r="C1" s="394"/>
      <c r="D1" s="394"/>
      <c r="E1" s="50"/>
      <c r="F1" s="50"/>
      <c r="G1" s="50"/>
      <c r="H1" s="50"/>
      <c r="I1" s="50"/>
      <c r="J1" s="50"/>
      <c r="K1" s="50"/>
      <c r="L1" s="50"/>
      <c r="M1" s="50"/>
      <c r="N1" s="50"/>
      <c r="O1" s="50"/>
      <c r="P1" s="50"/>
      <c r="Q1" s="50"/>
      <c r="R1" s="50"/>
      <c r="S1" s="50"/>
      <c r="T1" s="50"/>
      <c r="U1" s="50"/>
      <c r="V1" s="50"/>
      <c r="W1" s="50"/>
      <c r="X1" s="50"/>
      <c r="Y1" s="50"/>
      <c r="Z1" s="50"/>
      <c r="AA1" s="50"/>
      <c r="AB1" s="50"/>
      <c r="AC1" s="50"/>
      <c r="AD1" s="50"/>
      <c r="AE1" s="50"/>
    </row>
    <row r="2" spans="1:37" x14ac:dyDescent="0.3">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7" ht="25.2" x14ac:dyDescent="0.3">
      <c r="A3" s="50"/>
      <c r="B3" s="10"/>
      <c r="C3" s="93" t="s">
        <v>52</v>
      </c>
      <c r="D3" s="93" t="s">
        <v>4</v>
      </c>
      <c r="E3" s="50"/>
      <c r="F3" s="50"/>
      <c r="G3" s="50"/>
      <c r="H3" s="50"/>
      <c r="I3" s="50"/>
      <c r="J3" s="50"/>
      <c r="K3" s="50"/>
      <c r="L3" s="50"/>
      <c r="M3" s="50"/>
      <c r="N3" s="50"/>
      <c r="O3" s="50"/>
      <c r="P3" s="50"/>
      <c r="Q3" s="50"/>
      <c r="R3" s="50"/>
      <c r="S3" s="50"/>
      <c r="T3" s="50"/>
      <c r="U3" s="50"/>
      <c r="V3" s="50"/>
      <c r="W3" s="50"/>
      <c r="X3" s="50"/>
      <c r="Y3" s="50"/>
      <c r="Z3" s="50"/>
      <c r="AA3" s="50"/>
      <c r="AB3" s="50"/>
      <c r="AC3" s="50"/>
      <c r="AD3" s="50"/>
      <c r="AE3" s="50"/>
    </row>
    <row r="4" spans="1:37" ht="50.4" x14ac:dyDescent="0.3">
      <c r="A4" s="50"/>
      <c r="B4" s="11" t="s">
        <v>51</v>
      </c>
      <c r="C4" s="12" t="s">
        <v>100</v>
      </c>
      <c r="D4" s="13">
        <v>0.2</v>
      </c>
      <c r="E4" s="50"/>
      <c r="F4" s="50"/>
      <c r="G4" s="50"/>
      <c r="H4" s="50"/>
      <c r="I4" s="50"/>
      <c r="J4" s="50"/>
      <c r="K4" s="50"/>
      <c r="L4" s="50"/>
      <c r="M4" s="50"/>
      <c r="N4" s="50"/>
      <c r="O4" s="50"/>
      <c r="P4" s="50"/>
      <c r="Q4" s="50"/>
      <c r="R4" s="50"/>
      <c r="S4" s="50"/>
      <c r="T4" s="50"/>
      <c r="U4" s="50"/>
      <c r="V4" s="50"/>
      <c r="W4" s="50"/>
      <c r="X4" s="50"/>
      <c r="Y4" s="50"/>
      <c r="Z4" s="50"/>
      <c r="AA4" s="50"/>
      <c r="AB4" s="50"/>
      <c r="AC4" s="50"/>
      <c r="AD4" s="50"/>
      <c r="AE4" s="50"/>
    </row>
    <row r="5" spans="1:37" ht="50.4" x14ac:dyDescent="0.3">
      <c r="A5" s="50"/>
      <c r="B5" s="14" t="s">
        <v>53</v>
      </c>
      <c r="C5" s="15" t="s">
        <v>101</v>
      </c>
      <c r="D5" s="16">
        <v>0.4</v>
      </c>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7" ht="50.4" x14ac:dyDescent="0.3">
      <c r="A6" s="50"/>
      <c r="B6" s="17" t="s">
        <v>105</v>
      </c>
      <c r="C6" s="15" t="s">
        <v>102</v>
      </c>
      <c r="D6" s="16">
        <v>0.6</v>
      </c>
      <c r="E6" s="50"/>
      <c r="F6" s="50"/>
      <c r="G6" s="50"/>
      <c r="H6" s="50"/>
      <c r="I6" s="50"/>
      <c r="J6" s="50"/>
      <c r="K6" s="50"/>
      <c r="L6" s="50"/>
      <c r="M6" s="50"/>
      <c r="N6" s="50"/>
      <c r="O6" s="50"/>
      <c r="P6" s="50"/>
      <c r="Q6" s="50"/>
      <c r="R6" s="50"/>
      <c r="S6" s="50"/>
      <c r="T6" s="50"/>
      <c r="U6" s="50"/>
      <c r="V6" s="50"/>
      <c r="W6" s="50"/>
      <c r="X6" s="50"/>
      <c r="Y6" s="50"/>
      <c r="Z6" s="50"/>
      <c r="AA6" s="50"/>
      <c r="AB6" s="50"/>
      <c r="AC6" s="50"/>
      <c r="AD6" s="50"/>
      <c r="AE6" s="50"/>
    </row>
    <row r="7" spans="1:37" ht="75.599999999999994" x14ac:dyDescent="0.3">
      <c r="A7" s="50"/>
      <c r="B7" s="18" t="s">
        <v>6</v>
      </c>
      <c r="C7" s="15" t="s">
        <v>103</v>
      </c>
      <c r="D7" s="16">
        <v>0.8</v>
      </c>
      <c r="E7" s="50"/>
      <c r="F7" s="50"/>
      <c r="G7" s="50"/>
      <c r="H7" s="50"/>
      <c r="I7" s="50"/>
      <c r="J7" s="50"/>
      <c r="K7" s="50"/>
      <c r="L7" s="50"/>
      <c r="M7" s="50"/>
      <c r="N7" s="50"/>
      <c r="O7" s="50"/>
      <c r="P7" s="50"/>
      <c r="Q7" s="50"/>
      <c r="R7" s="50"/>
      <c r="S7" s="50"/>
      <c r="T7" s="50"/>
      <c r="U7" s="50"/>
      <c r="V7" s="50"/>
      <c r="W7" s="50"/>
      <c r="X7" s="50"/>
      <c r="Y7" s="50"/>
      <c r="Z7" s="50"/>
      <c r="AA7" s="50"/>
      <c r="AB7" s="50"/>
      <c r="AC7" s="50"/>
      <c r="AD7" s="50"/>
      <c r="AE7" s="50"/>
    </row>
    <row r="8" spans="1:37" ht="50.4" x14ac:dyDescent="0.3">
      <c r="A8" s="50"/>
      <c r="B8" s="19" t="s">
        <v>54</v>
      </c>
      <c r="C8" s="15" t="s">
        <v>104</v>
      </c>
      <c r="D8" s="16">
        <v>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7" x14ac:dyDescent="0.3">
      <c r="A9" s="50"/>
      <c r="B9" s="72"/>
      <c r="C9" s="72"/>
      <c r="D9" s="72"/>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row>
    <row r="10" spans="1:37" x14ac:dyDescent="0.3">
      <c r="A10" s="50"/>
      <c r="B10" s="73"/>
      <c r="C10" s="72"/>
      <c r="D10" s="72"/>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row>
    <row r="11" spans="1:37" x14ac:dyDescent="0.3">
      <c r="A11" s="50"/>
      <c r="B11" s="72"/>
      <c r="C11" s="72"/>
      <c r="D11" s="72"/>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row>
    <row r="12" spans="1:37" x14ac:dyDescent="0.3">
      <c r="A12" s="50"/>
      <c r="B12" s="72"/>
      <c r="C12" s="72"/>
      <c r="D12" s="72"/>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row>
    <row r="13" spans="1:37" x14ac:dyDescent="0.3">
      <c r="A13" s="50"/>
      <c r="B13" s="72"/>
      <c r="C13" s="72"/>
      <c r="D13" s="72"/>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row>
    <row r="14" spans="1:37" x14ac:dyDescent="0.3">
      <c r="A14" s="50"/>
      <c r="B14" s="72"/>
      <c r="C14" s="72"/>
      <c r="D14" s="72"/>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7" x14ac:dyDescent="0.3">
      <c r="A15" s="50"/>
      <c r="B15" s="72"/>
      <c r="C15" s="72"/>
      <c r="D15" s="72"/>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1:37" x14ac:dyDescent="0.3">
      <c r="A16" s="50"/>
      <c r="B16" s="72"/>
      <c r="C16" s="72"/>
      <c r="D16" s="72"/>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row>
    <row r="17" spans="1:37" x14ac:dyDescent="0.3">
      <c r="A17" s="50"/>
      <c r="B17" s="72"/>
      <c r="C17" s="72"/>
      <c r="D17" s="72"/>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18" spans="1:37" x14ac:dyDescent="0.3">
      <c r="A18" s="50"/>
      <c r="B18" s="72"/>
      <c r="C18" s="72"/>
      <c r="D18" s="72"/>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row>
    <row r="19" spans="1:37" x14ac:dyDescent="0.3">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row>
    <row r="20" spans="1:37" x14ac:dyDescent="0.3">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row>
    <row r="21" spans="1:37" x14ac:dyDescent="0.3">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row>
    <row r="22" spans="1:37" x14ac:dyDescent="0.3">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row>
    <row r="23" spans="1:37" x14ac:dyDescent="0.3">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7" x14ac:dyDescent="0.3">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row>
    <row r="25" spans="1:37" x14ac:dyDescent="0.3">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row>
    <row r="26" spans="1:37" x14ac:dyDescent="0.3">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1:37" x14ac:dyDescent="0.3">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row>
    <row r="28" spans="1:37" x14ac:dyDescent="0.3">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row>
    <row r="29" spans="1:37" x14ac:dyDescent="0.3">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7" x14ac:dyDescent="0.3">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7" x14ac:dyDescent="0.3">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row>
    <row r="32" spans="1:37" x14ac:dyDescent="0.3">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row>
    <row r="33" spans="1:31" x14ac:dyDescent="0.3">
      <c r="A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1" x14ac:dyDescent="0.3">
      <c r="A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row>
    <row r="35" spans="1:31" x14ac:dyDescent="0.3">
      <c r="A35" s="50"/>
    </row>
    <row r="36" spans="1:31" x14ac:dyDescent="0.3">
      <c r="A36" s="50"/>
    </row>
    <row r="37" spans="1:31" x14ac:dyDescent="0.3">
      <c r="A37" s="50"/>
    </row>
    <row r="38" spans="1:31" x14ac:dyDescent="0.3">
      <c r="A38" s="50"/>
    </row>
    <row r="39" spans="1:31" x14ac:dyDescent="0.3">
      <c r="A39" s="50"/>
    </row>
    <row r="40" spans="1:31" x14ac:dyDescent="0.3">
      <c r="A40" s="50"/>
    </row>
    <row r="41" spans="1:31" x14ac:dyDescent="0.3">
      <c r="A41" s="50"/>
    </row>
    <row r="42" spans="1:31" x14ac:dyDescent="0.3">
      <c r="A42" s="50"/>
    </row>
    <row r="43" spans="1:31" x14ac:dyDescent="0.3">
      <c r="A43" s="50"/>
    </row>
    <row r="44" spans="1:31" x14ac:dyDescent="0.3">
      <c r="A44" s="50"/>
    </row>
    <row r="45" spans="1:31" x14ac:dyDescent="0.3">
      <c r="A45" s="50"/>
    </row>
    <row r="46" spans="1:31" x14ac:dyDescent="0.3">
      <c r="A46" s="50"/>
    </row>
    <row r="47" spans="1:31" x14ac:dyDescent="0.3">
      <c r="A47" s="50"/>
    </row>
    <row r="48" spans="1:31" x14ac:dyDescent="0.3">
      <c r="A48" s="50"/>
    </row>
    <row r="49" spans="1:1" x14ac:dyDescent="0.3">
      <c r="A49" s="50"/>
    </row>
    <row r="50" spans="1:1" x14ac:dyDescent="0.3">
      <c r="A50" s="50"/>
    </row>
    <row r="51" spans="1:1" x14ac:dyDescent="0.3">
      <c r="A51" s="50"/>
    </row>
    <row r="52" spans="1:1" x14ac:dyDescent="0.3">
      <c r="A52" s="50"/>
    </row>
    <row r="53" spans="1:1" x14ac:dyDescent="0.3">
      <c r="A53" s="50"/>
    </row>
    <row r="54" spans="1:1" x14ac:dyDescent="0.3">
      <c r="A54" s="50"/>
    </row>
    <row r="55" spans="1:1" x14ac:dyDescent="0.3">
      <c r="A55" s="5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E198" zoomScale="60" zoomScaleNormal="60" workbookViewId="0">
      <selection activeCell="F211" sqref="F211:F221"/>
    </sheetView>
  </sheetViews>
  <sheetFormatPr baseColWidth="10"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50"/>
      <c r="B1" s="395" t="s">
        <v>62</v>
      </c>
      <c r="C1" s="395"/>
      <c r="D1" s="395"/>
      <c r="E1" s="50"/>
      <c r="F1" s="50"/>
      <c r="G1" s="50"/>
      <c r="H1" s="50"/>
      <c r="I1" s="50"/>
      <c r="J1" s="50"/>
      <c r="K1" s="50"/>
      <c r="L1" s="50"/>
      <c r="M1" s="50"/>
      <c r="N1" s="50"/>
      <c r="O1" s="50"/>
      <c r="P1" s="50"/>
      <c r="Q1" s="50"/>
      <c r="R1" s="50"/>
      <c r="S1" s="50"/>
      <c r="T1" s="50"/>
      <c r="U1" s="50"/>
    </row>
    <row r="2" spans="1:21" x14ac:dyDescent="0.3">
      <c r="A2" s="50"/>
      <c r="B2" s="50"/>
      <c r="C2" s="50"/>
      <c r="D2" s="50"/>
      <c r="E2" s="50"/>
      <c r="F2" s="50"/>
      <c r="G2" s="50"/>
      <c r="H2" s="50"/>
      <c r="I2" s="50"/>
      <c r="J2" s="50"/>
      <c r="K2" s="50"/>
      <c r="L2" s="50"/>
      <c r="M2" s="50"/>
      <c r="N2" s="50"/>
      <c r="O2" s="50"/>
      <c r="P2" s="50"/>
      <c r="Q2" s="50"/>
      <c r="R2" s="50"/>
      <c r="S2" s="50"/>
      <c r="T2" s="50"/>
      <c r="U2" s="50"/>
    </row>
    <row r="3" spans="1:21" ht="30" x14ac:dyDescent="0.3">
      <c r="A3" s="50"/>
      <c r="B3" s="69"/>
      <c r="C3" s="94" t="s">
        <v>56</v>
      </c>
      <c r="D3" s="94" t="s">
        <v>57</v>
      </c>
      <c r="E3" s="50"/>
      <c r="F3" s="50"/>
      <c r="G3" s="50"/>
      <c r="H3" s="50"/>
      <c r="I3" s="50"/>
      <c r="J3" s="50"/>
      <c r="K3" s="50"/>
      <c r="L3" s="50"/>
      <c r="M3" s="50"/>
      <c r="N3" s="50"/>
      <c r="O3" s="50"/>
      <c r="P3" s="50"/>
      <c r="Q3" s="50"/>
      <c r="R3" s="50"/>
      <c r="S3" s="50"/>
      <c r="T3" s="50"/>
      <c r="U3" s="50"/>
    </row>
    <row r="4" spans="1:21" ht="32.4" x14ac:dyDescent="0.3">
      <c r="A4" s="68" t="s">
        <v>82</v>
      </c>
      <c r="B4" s="36" t="s">
        <v>99</v>
      </c>
      <c r="C4" s="41" t="s">
        <v>154</v>
      </c>
      <c r="D4" s="34" t="s">
        <v>95</v>
      </c>
      <c r="E4" s="50"/>
      <c r="F4" s="50"/>
      <c r="G4" s="50"/>
      <c r="H4" s="50"/>
      <c r="I4" s="50"/>
      <c r="J4" s="50"/>
      <c r="K4" s="50"/>
      <c r="L4" s="50"/>
      <c r="M4" s="50"/>
      <c r="N4" s="50"/>
      <c r="O4" s="50"/>
      <c r="P4" s="50"/>
      <c r="Q4" s="50"/>
      <c r="R4" s="50"/>
      <c r="S4" s="50"/>
      <c r="T4" s="50"/>
      <c r="U4" s="50"/>
    </row>
    <row r="5" spans="1:21" ht="64.8" x14ac:dyDescent="0.3">
      <c r="A5" s="68" t="s">
        <v>83</v>
      </c>
      <c r="B5" s="37" t="s">
        <v>212</v>
      </c>
      <c r="C5" s="42" t="s">
        <v>91</v>
      </c>
      <c r="D5" s="35" t="s">
        <v>96</v>
      </c>
      <c r="E5" s="50"/>
      <c r="F5" s="50"/>
      <c r="G5" s="50"/>
      <c r="H5" s="50"/>
      <c r="I5" s="50"/>
      <c r="J5" s="50"/>
      <c r="K5" s="50"/>
      <c r="L5" s="50"/>
      <c r="M5" s="50"/>
      <c r="N5" s="50"/>
      <c r="O5" s="50"/>
      <c r="P5" s="50"/>
      <c r="Q5" s="50"/>
      <c r="R5" s="50"/>
      <c r="S5" s="50"/>
      <c r="T5" s="50"/>
      <c r="U5" s="50"/>
    </row>
    <row r="6" spans="1:21" ht="64.8" x14ac:dyDescent="0.3">
      <c r="A6" s="68" t="s">
        <v>80</v>
      </c>
      <c r="B6" s="38" t="s">
        <v>59</v>
      </c>
      <c r="C6" s="42" t="s">
        <v>92</v>
      </c>
      <c r="D6" s="35" t="s">
        <v>98</v>
      </c>
      <c r="E6" s="50"/>
      <c r="F6" s="50"/>
      <c r="G6" s="50"/>
      <c r="H6" s="50"/>
      <c r="I6" s="50"/>
      <c r="J6" s="50"/>
      <c r="K6" s="50"/>
      <c r="L6" s="50"/>
      <c r="M6" s="50"/>
      <c r="N6" s="50"/>
      <c r="O6" s="50"/>
      <c r="P6" s="50"/>
      <c r="Q6" s="50"/>
      <c r="R6" s="50"/>
      <c r="S6" s="50"/>
      <c r="T6" s="50"/>
      <c r="U6" s="50"/>
    </row>
    <row r="7" spans="1:21" ht="97.2" x14ac:dyDescent="0.3">
      <c r="A7" s="68" t="s">
        <v>7</v>
      </c>
      <c r="B7" s="39" t="s">
        <v>60</v>
      </c>
      <c r="C7" s="42" t="s">
        <v>93</v>
      </c>
      <c r="D7" s="35" t="s">
        <v>97</v>
      </c>
      <c r="E7" s="50"/>
      <c r="F7" s="50"/>
      <c r="G7" s="50"/>
      <c r="H7" s="50"/>
      <c r="I7" s="50"/>
      <c r="J7" s="50"/>
      <c r="K7" s="50"/>
      <c r="L7" s="50"/>
      <c r="M7" s="50"/>
      <c r="N7" s="50"/>
      <c r="O7" s="50"/>
      <c r="P7" s="50"/>
      <c r="Q7" s="50"/>
      <c r="R7" s="50"/>
      <c r="S7" s="50"/>
      <c r="T7" s="50"/>
      <c r="U7" s="50"/>
    </row>
    <row r="8" spans="1:21" ht="64.8" x14ac:dyDescent="0.3">
      <c r="A8" s="68" t="s">
        <v>84</v>
      </c>
      <c r="B8" s="40" t="s">
        <v>61</v>
      </c>
      <c r="C8" s="42" t="s">
        <v>94</v>
      </c>
      <c r="D8" s="35" t="s">
        <v>116</v>
      </c>
      <c r="E8" s="50"/>
      <c r="F8" s="50"/>
      <c r="G8" s="50"/>
      <c r="H8" s="50"/>
      <c r="I8" s="50"/>
      <c r="J8" s="50"/>
      <c r="K8" s="50"/>
      <c r="L8" s="50"/>
      <c r="M8" s="50"/>
      <c r="N8" s="50"/>
      <c r="O8" s="50"/>
      <c r="P8" s="50"/>
      <c r="Q8" s="50"/>
      <c r="R8" s="50"/>
      <c r="S8" s="50"/>
      <c r="T8" s="50"/>
      <c r="U8" s="50"/>
    </row>
    <row r="9" spans="1:21" ht="20.399999999999999" x14ac:dyDescent="0.3">
      <c r="A9" s="68"/>
      <c r="B9" s="68"/>
      <c r="C9" s="70"/>
      <c r="D9" s="70"/>
      <c r="E9" s="50"/>
      <c r="F9" s="50"/>
      <c r="G9" s="50"/>
      <c r="H9" s="50"/>
      <c r="I9" s="50"/>
      <c r="J9" s="50"/>
      <c r="K9" s="50"/>
      <c r="L9" s="50"/>
      <c r="M9" s="50"/>
      <c r="N9" s="50"/>
      <c r="O9" s="50"/>
      <c r="P9" s="50"/>
      <c r="Q9" s="50"/>
      <c r="R9" s="50"/>
      <c r="S9" s="50"/>
      <c r="T9" s="50"/>
      <c r="U9" s="50"/>
    </row>
    <row r="10" spans="1:21" x14ac:dyDescent="0.3">
      <c r="A10" s="68"/>
      <c r="B10" s="71"/>
      <c r="C10" s="71"/>
      <c r="D10" s="71"/>
      <c r="E10" s="50"/>
      <c r="F10" s="50"/>
      <c r="G10" s="50"/>
      <c r="H10" s="50"/>
      <c r="I10" s="50"/>
      <c r="J10" s="50"/>
      <c r="K10" s="50"/>
      <c r="L10" s="50"/>
      <c r="M10" s="50"/>
      <c r="N10" s="50"/>
      <c r="O10" s="50"/>
      <c r="P10" s="50"/>
      <c r="Q10" s="50"/>
      <c r="R10" s="50"/>
      <c r="S10" s="50"/>
      <c r="T10" s="50"/>
      <c r="U10" s="50"/>
    </row>
    <row r="11" spans="1:21" x14ac:dyDescent="0.3">
      <c r="A11" s="68"/>
      <c r="B11" s="68" t="s">
        <v>90</v>
      </c>
      <c r="C11" s="68" t="s">
        <v>142</v>
      </c>
      <c r="D11" s="68" t="s">
        <v>149</v>
      </c>
      <c r="E11" s="50"/>
      <c r="F11" s="50"/>
      <c r="G11" s="50"/>
      <c r="H11" s="50"/>
      <c r="I11" s="50"/>
      <c r="J11" s="50"/>
      <c r="K11" s="50"/>
      <c r="L11" s="50"/>
      <c r="M11" s="50"/>
      <c r="N11" s="50"/>
      <c r="O11" s="50"/>
      <c r="P11" s="50"/>
      <c r="Q11" s="50"/>
      <c r="R11" s="50"/>
      <c r="S11" s="50"/>
      <c r="T11" s="50"/>
      <c r="U11" s="50"/>
    </row>
    <row r="12" spans="1:21" x14ac:dyDescent="0.3">
      <c r="A12" s="68"/>
      <c r="B12" s="68" t="s">
        <v>88</v>
      </c>
      <c r="C12" s="68" t="s">
        <v>146</v>
      </c>
      <c r="D12" s="68" t="s">
        <v>150</v>
      </c>
      <c r="E12" s="50"/>
      <c r="F12" s="50"/>
      <c r="G12" s="50"/>
      <c r="H12" s="50"/>
      <c r="I12" s="50"/>
      <c r="J12" s="50"/>
      <c r="K12" s="50"/>
      <c r="L12" s="50"/>
      <c r="M12" s="50"/>
      <c r="N12" s="50"/>
      <c r="O12" s="50"/>
      <c r="P12" s="50"/>
      <c r="Q12" s="50"/>
      <c r="R12" s="50"/>
      <c r="S12" s="50"/>
      <c r="T12" s="50"/>
      <c r="U12" s="50"/>
    </row>
    <row r="13" spans="1:21" x14ac:dyDescent="0.3">
      <c r="A13" s="68"/>
      <c r="B13" s="68"/>
      <c r="C13" s="68" t="s">
        <v>145</v>
      </c>
      <c r="D13" s="68" t="s">
        <v>151</v>
      </c>
      <c r="E13" s="50"/>
      <c r="F13" s="50"/>
      <c r="G13" s="50"/>
      <c r="H13" s="50"/>
      <c r="I13" s="50"/>
      <c r="J13" s="50"/>
      <c r="K13" s="50"/>
      <c r="L13" s="50"/>
      <c r="M13" s="50"/>
      <c r="N13" s="50"/>
      <c r="O13" s="50"/>
      <c r="P13" s="50"/>
      <c r="Q13" s="50"/>
      <c r="R13" s="50"/>
      <c r="S13" s="50"/>
      <c r="T13" s="50"/>
      <c r="U13" s="50"/>
    </row>
    <row r="14" spans="1:21" x14ac:dyDescent="0.3">
      <c r="A14" s="68"/>
      <c r="B14" s="68"/>
      <c r="C14" s="68" t="s">
        <v>147</v>
      </c>
      <c r="D14" s="68" t="s">
        <v>152</v>
      </c>
      <c r="E14" s="50"/>
      <c r="F14" s="50"/>
      <c r="G14" s="50"/>
      <c r="H14" s="50"/>
      <c r="I14" s="50"/>
      <c r="J14" s="50"/>
      <c r="K14" s="50"/>
      <c r="L14" s="50"/>
      <c r="M14" s="50"/>
      <c r="N14" s="50"/>
      <c r="O14" s="50"/>
      <c r="P14" s="50"/>
      <c r="Q14" s="50"/>
      <c r="R14" s="50"/>
      <c r="S14" s="50"/>
      <c r="T14" s="50"/>
      <c r="U14" s="50"/>
    </row>
    <row r="15" spans="1:21" x14ac:dyDescent="0.3">
      <c r="A15" s="68"/>
      <c r="B15" s="68"/>
      <c r="C15" s="68" t="s">
        <v>148</v>
      </c>
      <c r="D15" s="68" t="s">
        <v>153</v>
      </c>
      <c r="E15" s="50"/>
      <c r="F15" s="50"/>
      <c r="G15" s="50"/>
      <c r="H15" s="50"/>
      <c r="I15" s="50"/>
      <c r="J15" s="50"/>
      <c r="K15" s="50"/>
      <c r="L15" s="50"/>
      <c r="M15" s="50"/>
      <c r="N15" s="50"/>
      <c r="O15" s="50"/>
      <c r="P15" s="50"/>
      <c r="Q15" s="50"/>
      <c r="R15" s="50"/>
      <c r="S15" s="50"/>
      <c r="T15" s="50"/>
      <c r="U15" s="50"/>
    </row>
    <row r="16" spans="1:21" x14ac:dyDescent="0.3">
      <c r="A16" s="68"/>
      <c r="B16" s="68"/>
      <c r="C16" s="68"/>
      <c r="D16" s="68"/>
      <c r="E16" s="50"/>
      <c r="F16" s="50"/>
      <c r="G16" s="50"/>
      <c r="H16" s="50"/>
      <c r="I16" s="50"/>
      <c r="J16" s="50"/>
      <c r="K16" s="50"/>
      <c r="L16" s="50"/>
      <c r="M16" s="50"/>
      <c r="N16" s="50"/>
      <c r="O16" s="50"/>
    </row>
    <row r="17" spans="1:15" x14ac:dyDescent="0.3">
      <c r="A17" s="68"/>
      <c r="B17" s="68"/>
      <c r="C17" s="68"/>
      <c r="D17" s="68"/>
      <c r="E17" s="50"/>
      <c r="F17" s="50"/>
      <c r="G17" s="50"/>
      <c r="H17" s="50"/>
      <c r="I17" s="50"/>
      <c r="J17" s="50"/>
      <c r="K17" s="50"/>
      <c r="L17" s="50"/>
      <c r="M17" s="50"/>
      <c r="N17" s="50"/>
      <c r="O17" s="50"/>
    </row>
    <row r="18" spans="1:15" x14ac:dyDescent="0.3">
      <c r="A18" s="68"/>
      <c r="B18" s="72"/>
      <c r="C18" s="72"/>
      <c r="D18" s="72"/>
      <c r="E18" s="50"/>
      <c r="F18" s="50"/>
      <c r="G18" s="50"/>
      <c r="H18" s="50"/>
      <c r="I18" s="50"/>
      <c r="J18" s="50"/>
      <c r="K18" s="50"/>
      <c r="L18" s="50"/>
      <c r="M18" s="50"/>
      <c r="N18" s="50"/>
      <c r="O18" s="50"/>
    </row>
    <row r="19" spans="1:15" x14ac:dyDescent="0.3">
      <c r="A19" s="68"/>
      <c r="B19" s="72"/>
      <c r="C19" s="72"/>
      <c r="D19" s="72"/>
      <c r="E19" s="50"/>
      <c r="F19" s="50"/>
      <c r="G19" s="50"/>
      <c r="H19" s="50"/>
      <c r="I19" s="50"/>
      <c r="J19" s="50"/>
      <c r="K19" s="50"/>
      <c r="L19" s="50"/>
      <c r="M19" s="50"/>
      <c r="N19" s="50"/>
      <c r="O19" s="50"/>
    </row>
    <row r="20" spans="1:15" x14ac:dyDescent="0.3">
      <c r="A20" s="68"/>
      <c r="B20" s="72"/>
      <c r="C20" s="72"/>
      <c r="D20" s="72"/>
      <c r="E20" s="50"/>
      <c r="F20" s="50"/>
      <c r="G20" s="50"/>
      <c r="H20" s="50"/>
      <c r="I20" s="50"/>
      <c r="J20" s="50"/>
      <c r="K20" s="50"/>
      <c r="L20" s="50"/>
      <c r="M20" s="50"/>
      <c r="N20" s="50"/>
      <c r="O20" s="50"/>
    </row>
    <row r="21" spans="1:15" x14ac:dyDescent="0.3">
      <c r="A21" s="68"/>
      <c r="B21" s="72"/>
      <c r="C21" s="72"/>
      <c r="D21" s="72"/>
      <c r="E21" s="50"/>
      <c r="F21" s="50"/>
      <c r="G21" s="50"/>
      <c r="H21" s="50"/>
      <c r="I21" s="50"/>
      <c r="J21" s="50"/>
      <c r="K21" s="50"/>
      <c r="L21" s="50"/>
      <c r="M21" s="50"/>
      <c r="N21" s="50"/>
      <c r="O21" s="50"/>
    </row>
    <row r="22" spans="1:15" ht="20.399999999999999" x14ac:dyDescent="0.3">
      <c r="A22" s="68"/>
      <c r="B22" s="68"/>
      <c r="C22" s="70"/>
      <c r="D22" s="70"/>
      <c r="E22" s="50"/>
      <c r="F22" s="50"/>
      <c r="G22" s="50"/>
      <c r="H22" s="50"/>
      <c r="I22" s="50"/>
      <c r="J22" s="50"/>
      <c r="K22" s="50"/>
      <c r="L22" s="50"/>
      <c r="M22" s="50"/>
      <c r="N22" s="50"/>
      <c r="O22" s="50"/>
    </row>
    <row r="23" spans="1:15" ht="20.399999999999999" x14ac:dyDescent="0.3">
      <c r="A23" s="68"/>
      <c r="B23" s="68"/>
      <c r="C23" s="70"/>
      <c r="D23" s="70"/>
      <c r="E23" s="50"/>
      <c r="F23" s="50"/>
      <c r="G23" s="50"/>
      <c r="H23" s="50"/>
      <c r="I23" s="50"/>
      <c r="J23" s="50"/>
      <c r="K23" s="50"/>
      <c r="L23" s="50"/>
      <c r="M23" s="50"/>
      <c r="N23" s="50"/>
      <c r="O23" s="50"/>
    </row>
    <row r="24" spans="1:15" ht="20.399999999999999" x14ac:dyDescent="0.3">
      <c r="A24" s="68"/>
      <c r="B24" s="68"/>
      <c r="C24" s="70"/>
      <c r="D24" s="70"/>
      <c r="E24" s="50"/>
      <c r="F24" s="50"/>
      <c r="G24" s="50"/>
      <c r="H24" s="50"/>
      <c r="I24" s="50"/>
      <c r="J24" s="50"/>
      <c r="K24" s="50"/>
      <c r="L24" s="50"/>
      <c r="M24" s="50"/>
      <c r="N24" s="50"/>
      <c r="O24" s="50"/>
    </row>
    <row r="25" spans="1:15" ht="20.399999999999999" x14ac:dyDescent="0.3">
      <c r="A25" s="68"/>
      <c r="B25" s="68"/>
      <c r="C25" s="70"/>
      <c r="D25" s="70"/>
      <c r="E25" s="50"/>
      <c r="F25" s="50"/>
      <c r="G25" s="50"/>
      <c r="H25" s="50"/>
      <c r="I25" s="50"/>
      <c r="J25" s="50"/>
      <c r="K25" s="50"/>
      <c r="L25" s="50"/>
      <c r="M25" s="50"/>
      <c r="N25" s="50"/>
      <c r="O25" s="50"/>
    </row>
    <row r="26" spans="1:15" ht="20.399999999999999" x14ac:dyDescent="0.3">
      <c r="A26" s="68"/>
      <c r="B26" s="68"/>
      <c r="C26" s="70"/>
      <c r="D26" s="70"/>
      <c r="E26" s="50"/>
      <c r="F26" s="50"/>
      <c r="G26" s="50"/>
      <c r="H26" s="50"/>
      <c r="I26" s="50"/>
      <c r="J26" s="50"/>
      <c r="K26" s="50"/>
      <c r="L26" s="50"/>
      <c r="M26" s="50"/>
      <c r="N26" s="50"/>
      <c r="O26" s="50"/>
    </row>
    <row r="27" spans="1:15" ht="20.399999999999999" x14ac:dyDescent="0.3">
      <c r="A27" s="68"/>
      <c r="B27" s="68"/>
      <c r="C27" s="70"/>
      <c r="D27" s="70"/>
      <c r="E27" s="50"/>
      <c r="F27" s="50"/>
      <c r="G27" s="50"/>
      <c r="H27" s="50"/>
      <c r="I27" s="50"/>
      <c r="J27" s="50"/>
      <c r="K27" s="50"/>
      <c r="L27" s="50"/>
      <c r="M27" s="50"/>
      <c r="N27" s="50"/>
      <c r="O27" s="50"/>
    </row>
    <row r="28" spans="1:15" ht="20.399999999999999" x14ac:dyDescent="0.3">
      <c r="A28" s="68"/>
      <c r="B28" s="68"/>
      <c r="C28" s="70"/>
      <c r="D28" s="70"/>
      <c r="E28" s="50"/>
      <c r="F28" s="50"/>
      <c r="G28" s="50"/>
      <c r="H28" s="50"/>
      <c r="I28" s="50"/>
      <c r="J28" s="50"/>
      <c r="K28" s="50"/>
      <c r="L28" s="50"/>
      <c r="M28" s="50"/>
      <c r="N28" s="50"/>
      <c r="O28" s="50"/>
    </row>
    <row r="29" spans="1:15" ht="20.399999999999999" x14ac:dyDescent="0.3">
      <c r="A29" s="68"/>
      <c r="B29" s="68"/>
      <c r="C29" s="70"/>
      <c r="D29" s="70"/>
      <c r="E29" s="50"/>
      <c r="F29" s="50"/>
      <c r="G29" s="50"/>
      <c r="H29" s="50"/>
      <c r="I29" s="50"/>
      <c r="J29" s="50"/>
      <c r="K29" s="50"/>
      <c r="L29" s="50"/>
      <c r="M29" s="50"/>
      <c r="N29" s="50"/>
      <c r="O29" s="50"/>
    </row>
    <row r="30" spans="1:15" ht="20.399999999999999" x14ac:dyDescent="0.3">
      <c r="A30" s="68"/>
      <c r="B30" s="68"/>
      <c r="C30" s="70"/>
      <c r="D30" s="70"/>
      <c r="E30" s="50"/>
      <c r="F30" s="50"/>
      <c r="G30" s="50"/>
      <c r="H30" s="50"/>
      <c r="I30" s="50"/>
      <c r="J30" s="50"/>
      <c r="K30" s="50"/>
      <c r="L30" s="50"/>
      <c r="M30" s="50"/>
      <c r="N30" s="50"/>
      <c r="O30" s="50"/>
    </row>
    <row r="31" spans="1:15" ht="20.399999999999999" x14ac:dyDescent="0.3">
      <c r="A31" s="68"/>
      <c r="B31" s="68"/>
      <c r="C31" s="70"/>
      <c r="D31" s="70"/>
      <c r="E31" s="50"/>
      <c r="F31" s="50"/>
      <c r="G31" s="50"/>
      <c r="H31" s="50"/>
      <c r="I31" s="50"/>
      <c r="J31" s="50"/>
      <c r="K31" s="50"/>
      <c r="L31" s="50"/>
      <c r="M31" s="50"/>
      <c r="N31" s="50"/>
      <c r="O31" s="50"/>
    </row>
    <row r="32" spans="1:15" ht="20.399999999999999" x14ac:dyDescent="0.3">
      <c r="A32" s="68"/>
      <c r="B32" s="68"/>
      <c r="C32" s="70"/>
      <c r="D32" s="70"/>
      <c r="E32" s="50"/>
      <c r="F32" s="50"/>
      <c r="G32" s="50"/>
      <c r="H32" s="50"/>
      <c r="I32" s="50"/>
      <c r="J32" s="50"/>
      <c r="K32" s="50"/>
      <c r="L32" s="50"/>
      <c r="M32" s="50"/>
      <c r="N32" s="50"/>
      <c r="O32" s="50"/>
    </row>
    <row r="33" spans="1:15" ht="20.399999999999999" x14ac:dyDescent="0.3">
      <c r="A33" s="68"/>
      <c r="B33" s="68"/>
      <c r="C33" s="70"/>
      <c r="D33" s="70"/>
      <c r="E33" s="50"/>
      <c r="F33" s="50"/>
      <c r="G33" s="50"/>
      <c r="H33" s="50"/>
      <c r="I33" s="50"/>
      <c r="J33" s="50"/>
      <c r="K33" s="50"/>
      <c r="L33" s="50"/>
      <c r="M33" s="50"/>
      <c r="N33" s="50"/>
      <c r="O33" s="50"/>
    </row>
    <row r="34" spans="1:15" ht="20.399999999999999" x14ac:dyDescent="0.3">
      <c r="A34" s="68"/>
      <c r="B34" s="68"/>
      <c r="C34" s="70"/>
      <c r="D34" s="70"/>
      <c r="E34" s="50"/>
      <c r="F34" s="50"/>
      <c r="G34" s="50"/>
      <c r="H34" s="50"/>
      <c r="I34" s="50"/>
      <c r="J34" s="50"/>
      <c r="K34" s="50"/>
      <c r="L34" s="50"/>
      <c r="M34" s="50"/>
      <c r="N34" s="50"/>
      <c r="O34" s="50"/>
    </row>
    <row r="35" spans="1:15" ht="20.399999999999999" x14ac:dyDescent="0.3">
      <c r="A35" s="68"/>
      <c r="B35" s="68"/>
      <c r="C35" s="70"/>
      <c r="D35" s="70"/>
      <c r="E35" s="50"/>
      <c r="F35" s="50"/>
      <c r="G35" s="50"/>
      <c r="H35" s="50"/>
      <c r="I35" s="50"/>
      <c r="J35" s="50"/>
      <c r="K35" s="50"/>
      <c r="L35" s="50"/>
      <c r="M35" s="50"/>
      <c r="N35" s="50"/>
      <c r="O35" s="50"/>
    </row>
    <row r="36" spans="1:15" ht="20.399999999999999" x14ac:dyDescent="0.3">
      <c r="A36" s="68"/>
      <c r="B36" s="68"/>
      <c r="C36" s="70"/>
      <c r="D36" s="70"/>
      <c r="E36" s="50"/>
      <c r="F36" s="50"/>
      <c r="G36" s="50"/>
      <c r="H36" s="50"/>
      <c r="I36" s="50"/>
      <c r="J36" s="50"/>
      <c r="K36" s="50"/>
      <c r="L36" s="50"/>
      <c r="M36" s="50"/>
      <c r="N36" s="50"/>
      <c r="O36" s="50"/>
    </row>
    <row r="37" spans="1:15" ht="20.399999999999999" x14ac:dyDescent="0.3">
      <c r="A37" s="68"/>
      <c r="B37" s="68"/>
      <c r="C37" s="70"/>
      <c r="D37" s="70"/>
      <c r="E37" s="50"/>
      <c r="F37" s="50"/>
      <c r="G37" s="50"/>
      <c r="H37" s="50"/>
      <c r="I37" s="50"/>
      <c r="J37" s="50"/>
      <c r="K37" s="50"/>
      <c r="L37" s="50"/>
      <c r="M37" s="50"/>
      <c r="N37" s="50"/>
      <c r="O37" s="50"/>
    </row>
    <row r="38" spans="1:15" ht="20.399999999999999" x14ac:dyDescent="0.3">
      <c r="A38" s="68"/>
      <c r="B38" s="68"/>
      <c r="C38" s="70"/>
      <c r="D38" s="70"/>
      <c r="E38" s="50"/>
      <c r="F38" s="50"/>
      <c r="G38" s="50"/>
      <c r="H38" s="50"/>
      <c r="I38" s="50"/>
      <c r="J38" s="50"/>
      <c r="K38" s="50"/>
      <c r="L38" s="50"/>
      <c r="M38" s="50"/>
      <c r="N38" s="50"/>
      <c r="O38" s="50"/>
    </row>
    <row r="39" spans="1:15" ht="20.399999999999999" x14ac:dyDescent="0.3">
      <c r="A39" s="68"/>
      <c r="B39" s="68"/>
      <c r="C39" s="70"/>
      <c r="D39" s="70"/>
      <c r="E39" s="50"/>
      <c r="F39" s="50"/>
      <c r="G39" s="50"/>
      <c r="H39" s="50"/>
      <c r="I39" s="50"/>
      <c r="J39" s="50"/>
      <c r="K39" s="50"/>
      <c r="L39" s="50"/>
      <c r="M39" s="50"/>
      <c r="N39" s="50"/>
      <c r="O39" s="50"/>
    </row>
    <row r="40" spans="1:15" ht="20.399999999999999" x14ac:dyDescent="0.3">
      <c r="A40" s="68"/>
      <c r="B40" s="68"/>
      <c r="C40" s="70"/>
      <c r="D40" s="70"/>
      <c r="E40" s="50"/>
      <c r="F40" s="50"/>
      <c r="G40" s="50"/>
      <c r="H40" s="50"/>
      <c r="I40" s="50"/>
      <c r="J40" s="50"/>
      <c r="K40" s="50"/>
      <c r="L40" s="50"/>
      <c r="M40" s="50"/>
      <c r="N40" s="50"/>
      <c r="O40" s="50"/>
    </row>
    <row r="41" spans="1:15" ht="20.399999999999999" x14ac:dyDescent="0.3">
      <c r="A41" s="68"/>
      <c r="B41" s="68"/>
      <c r="C41" s="70"/>
      <c r="D41" s="70"/>
      <c r="E41" s="50"/>
      <c r="F41" s="50"/>
      <c r="G41" s="50"/>
      <c r="H41" s="50"/>
      <c r="I41" s="50"/>
      <c r="J41" s="50"/>
      <c r="K41" s="50"/>
      <c r="L41" s="50"/>
      <c r="M41" s="50"/>
      <c r="N41" s="50"/>
      <c r="O41" s="50"/>
    </row>
    <row r="42" spans="1:15" ht="20.399999999999999" x14ac:dyDescent="0.3">
      <c r="A42" s="68"/>
      <c r="B42" s="68"/>
      <c r="C42" s="70"/>
      <c r="D42" s="70"/>
      <c r="E42" s="50"/>
      <c r="F42" s="50"/>
      <c r="G42" s="50"/>
      <c r="H42" s="50"/>
      <c r="I42" s="50"/>
      <c r="J42" s="50"/>
      <c r="K42" s="50"/>
      <c r="L42" s="50"/>
      <c r="M42" s="50"/>
      <c r="N42" s="50"/>
      <c r="O42" s="50"/>
    </row>
    <row r="43" spans="1:15" ht="20.399999999999999" x14ac:dyDescent="0.3">
      <c r="A43" s="68"/>
      <c r="B43" s="68"/>
      <c r="C43" s="70"/>
      <c r="D43" s="70"/>
      <c r="E43" s="50"/>
      <c r="F43" s="50"/>
      <c r="G43" s="50"/>
      <c r="H43" s="50"/>
      <c r="I43" s="50"/>
      <c r="J43" s="50"/>
      <c r="K43" s="50"/>
      <c r="L43" s="50"/>
      <c r="M43" s="50"/>
      <c r="N43" s="50"/>
      <c r="O43" s="50"/>
    </row>
    <row r="44" spans="1:15" ht="20.399999999999999" x14ac:dyDescent="0.3">
      <c r="A44" s="68"/>
      <c r="B44" s="68"/>
      <c r="C44" s="70"/>
      <c r="D44" s="70"/>
      <c r="E44" s="50"/>
      <c r="F44" s="50"/>
      <c r="G44" s="50"/>
      <c r="H44" s="50"/>
      <c r="I44" s="50"/>
      <c r="J44" s="50"/>
      <c r="K44" s="50"/>
      <c r="L44" s="50"/>
      <c r="M44" s="50"/>
      <c r="N44" s="50"/>
      <c r="O44" s="50"/>
    </row>
    <row r="45" spans="1:15" ht="20.399999999999999" x14ac:dyDescent="0.3">
      <c r="A45" s="68"/>
      <c r="B45" s="68"/>
      <c r="C45" s="70"/>
      <c r="D45" s="70"/>
      <c r="E45" s="50"/>
      <c r="F45" s="50"/>
      <c r="G45" s="50"/>
      <c r="H45" s="50"/>
      <c r="I45" s="50"/>
      <c r="J45" s="50"/>
      <c r="K45" s="50"/>
      <c r="L45" s="50"/>
      <c r="M45" s="50"/>
      <c r="N45" s="50"/>
      <c r="O45" s="50"/>
    </row>
    <row r="46" spans="1:15" ht="20.399999999999999" x14ac:dyDescent="0.3">
      <c r="A46" s="68"/>
      <c r="B46" s="68"/>
      <c r="C46" s="70"/>
      <c r="D46" s="70"/>
      <c r="E46" s="50"/>
      <c r="F46" s="50"/>
      <c r="G46" s="50"/>
      <c r="H46" s="50"/>
      <c r="I46" s="50"/>
      <c r="J46" s="50"/>
      <c r="K46" s="50"/>
      <c r="L46" s="50"/>
      <c r="M46" s="50"/>
      <c r="N46" s="50"/>
      <c r="O46" s="50"/>
    </row>
    <row r="47" spans="1:15" ht="20.399999999999999" x14ac:dyDescent="0.3">
      <c r="A47" s="68"/>
      <c r="B47" s="68"/>
      <c r="C47" s="70"/>
      <c r="D47" s="70"/>
      <c r="E47" s="50"/>
      <c r="F47" s="50"/>
      <c r="G47" s="50"/>
      <c r="H47" s="50"/>
      <c r="I47" s="50"/>
      <c r="J47" s="50"/>
      <c r="K47" s="50"/>
      <c r="L47" s="50"/>
      <c r="M47" s="50"/>
      <c r="N47" s="50"/>
      <c r="O47" s="50"/>
    </row>
    <row r="48" spans="1:15" ht="20.399999999999999" x14ac:dyDescent="0.3">
      <c r="A48" s="68"/>
      <c r="B48" s="68"/>
      <c r="C48" s="70"/>
      <c r="D48" s="70"/>
      <c r="E48" s="50"/>
      <c r="F48" s="50"/>
      <c r="G48" s="50"/>
      <c r="H48" s="50"/>
      <c r="I48" s="50"/>
      <c r="J48" s="50"/>
      <c r="K48" s="50"/>
      <c r="L48" s="50"/>
      <c r="M48" s="50"/>
      <c r="N48" s="50"/>
      <c r="O48" s="50"/>
    </row>
    <row r="49" spans="1:15" ht="20.399999999999999" x14ac:dyDescent="0.3">
      <c r="A49" s="68"/>
      <c r="B49" s="68"/>
      <c r="C49" s="70"/>
      <c r="D49" s="70"/>
      <c r="E49" s="50"/>
      <c r="F49" s="50"/>
      <c r="G49" s="50"/>
      <c r="H49" s="50"/>
      <c r="I49" s="50"/>
      <c r="J49" s="50"/>
      <c r="K49" s="50"/>
      <c r="L49" s="50"/>
      <c r="M49" s="50"/>
      <c r="N49" s="50"/>
      <c r="O49" s="50"/>
    </row>
    <row r="50" spans="1:15" ht="20.399999999999999" x14ac:dyDescent="0.3">
      <c r="A50" s="68"/>
      <c r="B50" s="68"/>
      <c r="C50" s="70"/>
      <c r="D50" s="70"/>
      <c r="E50" s="50"/>
      <c r="F50" s="50"/>
      <c r="G50" s="50"/>
      <c r="H50" s="50"/>
      <c r="I50" s="50"/>
      <c r="J50" s="50"/>
      <c r="K50" s="50"/>
      <c r="L50" s="50"/>
      <c r="M50" s="50"/>
      <c r="N50" s="50"/>
      <c r="O50" s="50"/>
    </row>
    <row r="51" spans="1:15" ht="20.399999999999999" x14ac:dyDescent="0.3">
      <c r="A51" s="68"/>
      <c r="B51" s="68"/>
      <c r="C51" s="70"/>
      <c r="D51" s="70"/>
      <c r="E51" s="50"/>
      <c r="F51" s="50"/>
      <c r="G51" s="50"/>
      <c r="H51" s="50"/>
      <c r="I51" s="50"/>
      <c r="J51" s="50"/>
      <c r="K51" s="50"/>
      <c r="L51" s="50"/>
      <c r="M51" s="50"/>
      <c r="N51" s="50"/>
      <c r="O51" s="50"/>
    </row>
    <row r="52" spans="1:15" ht="20.399999999999999" x14ac:dyDescent="0.3">
      <c r="A52" s="68"/>
      <c r="B52" s="21"/>
      <c r="C52" s="32"/>
      <c r="D52" s="32"/>
    </row>
    <row r="53" spans="1:15" ht="20.399999999999999" x14ac:dyDescent="0.3">
      <c r="A53" s="68"/>
      <c r="B53" s="21"/>
      <c r="C53" s="32"/>
      <c r="D53" s="32"/>
    </row>
    <row r="54" spans="1:15" ht="20.399999999999999" x14ac:dyDescent="0.3">
      <c r="A54" s="68"/>
      <c r="B54" s="21"/>
      <c r="C54" s="32"/>
      <c r="D54" s="32"/>
    </row>
    <row r="55" spans="1:15" ht="20.399999999999999" x14ac:dyDescent="0.3">
      <c r="A55" s="68"/>
      <c r="B55" s="21"/>
      <c r="C55" s="32"/>
      <c r="D55" s="32"/>
    </row>
    <row r="56" spans="1:15" ht="20.399999999999999" x14ac:dyDescent="0.3">
      <c r="A56" s="68"/>
      <c r="B56" s="21"/>
      <c r="C56" s="32"/>
      <c r="D56" s="32"/>
    </row>
    <row r="57" spans="1:15" ht="20.399999999999999" x14ac:dyDescent="0.3">
      <c r="A57" s="68"/>
      <c r="B57" s="21"/>
      <c r="C57" s="32"/>
      <c r="D57" s="32"/>
    </row>
    <row r="58" spans="1:15" ht="20.399999999999999" x14ac:dyDescent="0.3">
      <c r="A58" s="68"/>
      <c r="B58" s="21"/>
      <c r="C58" s="32"/>
      <c r="D58" s="32"/>
    </row>
    <row r="59" spans="1:15" ht="20.399999999999999" x14ac:dyDescent="0.3">
      <c r="A59" s="68"/>
      <c r="B59" s="21"/>
      <c r="C59" s="32"/>
      <c r="D59" s="32"/>
    </row>
    <row r="60" spans="1:15" ht="20.399999999999999" x14ac:dyDescent="0.3">
      <c r="A60" s="68"/>
      <c r="B60" s="21"/>
      <c r="C60" s="32"/>
      <c r="D60" s="32"/>
    </row>
    <row r="61" spans="1:15" ht="20.399999999999999" x14ac:dyDescent="0.3">
      <c r="A61" s="68"/>
      <c r="B61" s="21"/>
      <c r="C61" s="32"/>
      <c r="D61" s="32"/>
    </row>
    <row r="62" spans="1:15" ht="20.399999999999999" x14ac:dyDescent="0.3">
      <c r="A62" s="68"/>
      <c r="B62" s="21"/>
      <c r="C62" s="32"/>
      <c r="D62" s="32"/>
    </row>
    <row r="63" spans="1:15" ht="20.399999999999999" x14ac:dyDescent="0.3">
      <c r="A63" s="68"/>
      <c r="B63" s="21"/>
      <c r="C63" s="32"/>
      <c r="D63" s="32"/>
    </row>
    <row r="64" spans="1:15" ht="20.399999999999999" x14ac:dyDescent="0.3">
      <c r="A64" s="68"/>
      <c r="B64" s="21"/>
      <c r="C64" s="32"/>
      <c r="D64" s="32"/>
    </row>
    <row r="65" spans="1:4" ht="20.399999999999999" x14ac:dyDescent="0.3">
      <c r="A65" s="68"/>
      <c r="B65" s="21"/>
      <c r="C65" s="32"/>
      <c r="D65" s="32"/>
    </row>
    <row r="66" spans="1:4" ht="20.399999999999999" x14ac:dyDescent="0.3">
      <c r="A66" s="68"/>
      <c r="B66" s="21"/>
      <c r="C66" s="32"/>
      <c r="D66" s="32"/>
    </row>
    <row r="67" spans="1:4" ht="20.399999999999999" x14ac:dyDescent="0.3">
      <c r="A67" s="68"/>
      <c r="B67" s="21"/>
      <c r="C67" s="32"/>
      <c r="D67" s="32"/>
    </row>
    <row r="68" spans="1:4" ht="20.399999999999999" x14ac:dyDescent="0.3">
      <c r="A68" s="68"/>
      <c r="B68" s="21"/>
      <c r="C68" s="32"/>
      <c r="D68" s="32"/>
    </row>
    <row r="69" spans="1:4" ht="20.399999999999999" x14ac:dyDescent="0.3">
      <c r="A69" s="68"/>
      <c r="B69" s="21"/>
      <c r="C69" s="32"/>
      <c r="D69" s="32"/>
    </row>
    <row r="70" spans="1:4" ht="20.399999999999999" x14ac:dyDescent="0.3">
      <c r="A70" s="68"/>
      <c r="B70" s="21"/>
      <c r="C70" s="32"/>
      <c r="D70" s="32"/>
    </row>
    <row r="71" spans="1:4" ht="20.399999999999999" x14ac:dyDescent="0.3">
      <c r="A71" s="68"/>
      <c r="B71" s="21"/>
      <c r="C71" s="32"/>
      <c r="D71" s="32"/>
    </row>
    <row r="72" spans="1:4" ht="20.399999999999999" x14ac:dyDescent="0.3">
      <c r="A72" s="68"/>
      <c r="B72" s="21"/>
      <c r="C72" s="32"/>
      <c r="D72" s="32"/>
    </row>
    <row r="73" spans="1:4" ht="20.399999999999999" x14ac:dyDescent="0.3">
      <c r="A73" s="68"/>
      <c r="B73" s="21"/>
      <c r="C73" s="32"/>
      <c r="D73" s="32"/>
    </row>
    <row r="74" spans="1:4" ht="20.399999999999999" x14ac:dyDescent="0.3">
      <c r="A74" s="68"/>
      <c r="B74" s="21"/>
      <c r="C74" s="32"/>
      <c r="D74" s="32"/>
    </row>
    <row r="75" spans="1:4" ht="20.399999999999999" x14ac:dyDescent="0.3">
      <c r="A75" s="68"/>
      <c r="B75" s="21"/>
      <c r="C75" s="32"/>
      <c r="D75" s="32"/>
    </row>
    <row r="76" spans="1:4" ht="20.399999999999999" x14ac:dyDescent="0.3">
      <c r="A76" s="68"/>
      <c r="B76" s="21"/>
      <c r="C76" s="32"/>
      <c r="D76" s="32"/>
    </row>
    <row r="77" spans="1:4" ht="20.399999999999999" x14ac:dyDescent="0.3">
      <c r="A77" s="68"/>
      <c r="B77" s="21"/>
      <c r="C77" s="32"/>
      <c r="D77" s="32"/>
    </row>
    <row r="78" spans="1:4" ht="20.399999999999999" x14ac:dyDescent="0.3">
      <c r="A78" s="68"/>
      <c r="B78" s="21"/>
      <c r="C78" s="32"/>
      <c r="D78" s="32"/>
    </row>
    <row r="79" spans="1:4" ht="20.399999999999999" x14ac:dyDescent="0.3">
      <c r="A79" s="68"/>
      <c r="B79" s="21"/>
      <c r="C79" s="32"/>
      <c r="D79" s="32"/>
    </row>
    <row r="80" spans="1:4" ht="20.399999999999999" x14ac:dyDescent="0.3">
      <c r="A80" s="68"/>
      <c r="B80" s="21"/>
      <c r="C80" s="32"/>
      <c r="D80" s="32"/>
    </row>
    <row r="81" spans="1:4" ht="20.399999999999999" x14ac:dyDescent="0.3">
      <c r="A81" s="68"/>
      <c r="B81" s="21"/>
      <c r="C81" s="32"/>
      <c r="D81" s="32"/>
    </row>
    <row r="82" spans="1:4" ht="20.399999999999999" x14ac:dyDescent="0.3">
      <c r="A82" s="68"/>
      <c r="B82" s="21"/>
      <c r="C82" s="32"/>
      <c r="D82" s="32"/>
    </row>
    <row r="83" spans="1:4" ht="20.399999999999999" x14ac:dyDescent="0.3">
      <c r="A83" s="68"/>
      <c r="B83" s="21"/>
      <c r="C83" s="32"/>
      <c r="D83" s="32"/>
    </row>
    <row r="84" spans="1:4" ht="20.399999999999999" x14ac:dyDescent="0.3">
      <c r="A84" s="68"/>
      <c r="B84" s="21"/>
      <c r="C84" s="32"/>
      <c r="D84" s="32"/>
    </row>
    <row r="85" spans="1:4" ht="20.399999999999999" x14ac:dyDescent="0.3">
      <c r="A85" s="68"/>
      <c r="B85" s="21"/>
      <c r="C85" s="32"/>
      <c r="D85" s="32"/>
    </row>
    <row r="86" spans="1:4" ht="20.399999999999999" x14ac:dyDescent="0.3">
      <c r="A86" s="68"/>
      <c r="B86" s="21"/>
      <c r="C86" s="32"/>
      <c r="D86" s="32"/>
    </row>
    <row r="87" spans="1:4" ht="20.399999999999999" x14ac:dyDescent="0.3">
      <c r="A87" s="68"/>
      <c r="B87" s="21"/>
      <c r="C87" s="32"/>
      <c r="D87" s="32"/>
    </row>
    <row r="88" spans="1:4" ht="20.399999999999999" x14ac:dyDescent="0.3">
      <c r="A88" s="68"/>
      <c r="B88" s="21"/>
      <c r="C88" s="32"/>
      <c r="D88" s="32"/>
    </row>
    <row r="89" spans="1:4" ht="20.399999999999999" x14ac:dyDescent="0.3">
      <c r="A89" s="68"/>
      <c r="B89" s="21"/>
      <c r="C89" s="32"/>
      <c r="D89" s="32"/>
    </row>
    <row r="90" spans="1:4" ht="20.399999999999999" x14ac:dyDescent="0.3">
      <c r="A90" s="68"/>
      <c r="B90" s="21"/>
      <c r="C90" s="32"/>
      <c r="D90" s="32"/>
    </row>
    <row r="91" spans="1:4" ht="20.399999999999999" x14ac:dyDescent="0.3">
      <c r="A91" s="68"/>
      <c r="B91" s="21"/>
      <c r="C91" s="32"/>
      <c r="D91" s="32"/>
    </row>
    <row r="92" spans="1:4" ht="20.399999999999999" x14ac:dyDescent="0.3">
      <c r="A92" s="68"/>
      <c r="B92" s="21"/>
      <c r="C92" s="32"/>
      <c r="D92" s="32"/>
    </row>
    <row r="93" spans="1:4" ht="20.399999999999999" x14ac:dyDescent="0.3">
      <c r="A93" s="68"/>
      <c r="B93" s="21"/>
      <c r="C93" s="32"/>
      <c r="D93" s="32"/>
    </row>
    <row r="94" spans="1:4" ht="20.399999999999999" x14ac:dyDescent="0.3">
      <c r="A94" s="68"/>
      <c r="B94" s="21"/>
      <c r="C94" s="32"/>
      <c r="D94" s="32"/>
    </row>
    <row r="95" spans="1:4" ht="20.399999999999999" x14ac:dyDescent="0.3">
      <c r="A95" s="68"/>
      <c r="B95" s="21"/>
      <c r="C95" s="32"/>
      <c r="D95" s="32"/>
    </row>
    <row r="96" spans="1:4" ht="20.399999999999999" x14ac:dyDescent="0.3">
      <c r="A96" s="68"/>
      <c r="B96" s="21"/>
      <c r="C96" s="32"/>
      <c r="D96" s="32"/>
    </row>
    <row r="97" spans="1:4" ht="20.399999999999999" x14ac:dyDescent="0.3">
      <c r="A97" s="68"/>
      <c r="B97" s="21"/>
      <c r="C97" s="32"/>
      <c r="D97" s="32"/>
    </row>
    <row r="98" spans="1:4" ht="20.399999999999999" x14ac:dyDescent="0.3">
      <c r="A98" s="68"/>
      <c r="B98" s="21"/>
      <c r="C98" s="32"/>
      <c r="D98" s="32"/>
    </row>
    <row r="99" spans="1:4" ht="20.399999999999999" x14ac:dyDescent="0.3">
      <c r="A99" s="68"/>
      <c r="B99" s="21"/>
      <c r="C99" s="32"/>
      <c r="D99" s="32"/>
    </row>
    <row r="100" spans="1:4" ht="20.399999999999999" x14ac:dyDescent="0.3">
      <c r="A100" s="68"/>
      <c r="B100" s="21"/>
      <c r="C100" s="32"/>
      <c r="D100" s="32"/>
    </row>
    <row r="101" spans="1:4" ht="20.399999999999999" x14ac:dyDescent="0.3">
      <c r="A101" s="68"/>
      <c r="B101" s="21"/>
      <c r="C101" s="32"/>
      <c r="D101" s="32"/>
    </row>
    <row r="102" spans="1:4" ht="20.399999999999999" x14ac:dyDescent="0.3">
      <c r="A102" s="68"/>
      <c r="B102" s="21"/>
      <c r="C102" s="32"/>
      <c r="D102" s="32"/>
    </row>
    <row r="103" spans="1:4" ht="20.399999999999999" x14ac:dyDescent="0.3">
      <c r="A103" s="68"/>
      <c r="B103" s="21"/>
      <c r="C103" s="32"/>
      <c r="D103" s="32"/>
    </row>
    <row r="104" spans="1:4" ht="20.399999999999999" x14ac:dyDescent="0.3">
      <c r="A104" s="68"/>
      <c r="B104" s="21"/>
      <c r="C104" s="32"/>
      <c r="D104" s="32"/>
    </row>
    <row r="105" spans="1:4" ht="20.399999999999999" x14ac:dyDescent="0.3">
      <c r="A105" s="68"/>
      <c r="B105" s="21"/>
      <c r="C105" s="32"/>
      <c r="D105" s="32"/>
    </row>
    <row r="106" spans="1:4" ht="20.399999999999999" x14ac:dyDescent="0.3">
      <c r="A106" s="68"/>
      <c r="B106" s="21"/>
      <c r="C106" s="32"/>
      <c r="D106" s="32"/>
    </row>
    <row r="107" spans="1:4" ht="20.399999999999999" x14ac:dyDescent="0.3">
      <c r="A107" s="68"/>
      <c r="B107" s="21"/>
      <c r="C107" s="32"/>
      <c r="D107" s="32"/>
    </row>
    <row r="108" spans="1:4" ht="20.399999999999999" x14ac:dyDescent="0.3">
      <c r="A108" s="68"/>
      <c r="B108" s="21"/>
      <c r="C108" s="32"/>
      <c r="D108" s="32"/>
    </row>
    <row r="109" spans="1:4" ht="20.399999999999999" x14ac:dyDescent="0.3">
      <c r="A109" s="68"/>
      <c r="B109" s="21"/>
      <c r="C109" s="32"/>
      <c r="D109" s="32"/>
    </row>
    <row r="110" spans="1:4" ht="20.399999999999999" x14ac:dyDescent="0.3">
      <c r="A110" s="68"/>
      <c r="B110" s="21"/>
      <c r="C110" s="32"/>
      <c r="D110" s="32"/>
    </row>
    <row r="111" spans="1:4" ht="20.399999999999999" x14ac:dyDescent="0.3">
      <c r="A111" s="68"/>
      <c r="B111" s="21"/>
      <c r="C111" s="32"/>
      <c r="D111" s="32"/>
    </row>
    <row r="112" spans="1:4" ht="20.399999999999999" x14ac:dyDescent="0.3">
      <c r="A112" s="68"/>
      <c r="B112" s="21"/>
      <c r="C112" s="32"/>
      <c r="D112" s="32"/>
    </row>
    <row r="113" spans="1:4" ht="20.399999999999999" x14ac:dyDescent="0.3">
      <c r="A113" s="68"/>
      <c r="B113" s="21"/>
      <c r="C113" s="32"/>
      <c r="D113" s="32"/>
    </row>
    <row r="114" spans="1:4" ht="20.399999999999999" x14ac:dyDescent="0.3">
      <c r="A114" s="68"/>
      <c r="B114" s="21"/>
      <c r="C114" s="32"/>
      <c r="D114" s="32"/>
    </row>
    <row r="115" spans="1:4" ht="20.399999999999999" x14ac:dyDescent="0.3">
      <c r="A115" s="68"/>
      <c r="B115" s="21"/>
      <c r="C115" s="32"/>
      <c r="D115" s="32"/>
    </row>
    <row r="116" spans="1:4" ht="20.399999999999999" x14ac:dyDescent="0.3">
      <c r="A116" s="68"/>
      <c r="B116" s="21"/>
      <c r="C116" s="32"/>
      <c r="D116" s="32"/>
    </row>
    <row r="117" spans="1:4" ht="20.399999999999999" x14ac:dyDescent="0.3">
      <c r="A117" s="68"/>
      <c r="B117" s="21"/>
      <c r="C117" s="32"/>
      <c r="D117" s="32"/>
    </row>
    <row r="118" spans="1:4" ht="20.399999999999999" x14ac:dyDescent="0.3">
      <c r="A118" s="68"/>
      <c r="B118" s="21"/>
      <c r="C118" s="32"/>
      <c r="D118" s="32"/>
    </row>
    <row r="119" spans="1:4" ht="20.399999999999999" x14ac:dyDescent="0.3">
      <c r="A119" s="68"/>
      <c r="B119" s="21"/>
      <c r="C119" s="32"/>
      <c r="D119" s="32"/>
    </row>
    <row r="120" spans="1:4" ht="20.399999999999999" x14ac:dyDescent="0.3">
      <c r="A120" s="68"/>
      <c r="B120" s="21"/>
      <c r="C120" s="32"/>
      <c r="D120" s="32"/>
    </row>
    <row r="121" spans="1:4" ht="20.399999999999999" x14ac:dyDescent="0.3">
      <c r="A121" s="68"/>
      <c r="B121" s="21"/>
      <c r="C121" s="32"/>
      <c r="D121" s="32"/>
    </row>
    <row r="122" spans="1:4" ht="20.399999999999999" x14ac:dyDescent="0.3">
      <c r="A122" s="68"/>
      <c r="B122" s="21"/>
      <c r="C122" s="32"/>
      <c r="D122" s="32"/>
    </row>
    <row r="123" spans="1:4" ht="20.399999999999999" x14ac:dyDescent="0.3">
      <c r="A123" s="68"/>
      <c r="B123" s="21"/>
      <c r="C123" s="32"/>
      <c r="D123" s="32"/>
    </row>
    <row r="124" spans="1:4" ht="20.399999999999999" x14ac:dyDescent="0.3">
      <c r="A124" s="68"/>
      <c r="B124" s="21"/>
      <c r="C124" s="32"/>
      <c r="D124" s="32"/>
    </row>
    <row r="125" spans="1:4" ht="20.399999999999999" x14ac:dyDescent="0.3">
      <c r="A125" s="68"/>
      <c r="B125" s="21"/>
      <c r="C125" s="32"/>
      <c r="D125" s="32"/>
    </row>
    <row r="126" spans="1:4" ht="20.399999999999999" x14ac:dyDescent="0.3">
      <c r="A126" s="68"/>
      <c r="B126" s="21"/>
      <c r="C126" s="32"/>
      <c r="D126" s="32"/>
    </row>
    <row r="127" spans="1:4" ht="20.399999999999999" x14ac:dyDescent="0.3">
      <c r="A127" s="68"/>
      <c r="B127" s="21"/>
      <c r="C127" s="32"/>
      <c r="D127" s="32"/>
    </row>
    <row r="128" spans="1:4" ht="20.399999999999999" x14ac:dyDescent="0.3">
      <c r="A128" s="68"/>
      <c r="B128" s="21"/>
      <c r="C128" s="32"/>
      <c r="D128" s="32"/>
    </row>
    <row r="129" spans="1:4" ht="20.399999999999999" x14ac:dyDescent="0.3">
      <c r="A129" s="68"/>
      <c r="B129" s="21"/>
      <c r="C129" s="32"/>
      <c r="D129" s="32"/>
    </row>
    <row r="130" spans="1:4" ht="20.399999999999999" x14ac:dyDescent="0.3">
      <c r="A130" s="68"/>
      <c r="B130" s="21"/>
      <c r="C130" s="32"/>
      <c r="D130" s="32"/>
    </row>
    <row r="131" spans="1:4" ht="20.399999999999999" x14ac:dyDescent="0.3">
      <c r="A131" s="68"/>
      <c r="B131" s="21"/>
      <c r="C131" s="32"/>
      <c r="D131" s="32"/>
    </row>
    <row r="132" spans="1:4" ht="20.399999999999999" x14ac:dyDescent="0.3">
      <c r="A132" s="68"/>
      <c r="B132" s="21"/>
      <c r="C132" s="32"/>
      <c r="D132" s="32"/>
    </row>
    <row r="133" spans="1:4" ht="20.399999999999999" x14ac:dyDescent="0.3">
      <c r="A133" s="68"/>
      <c r="B133" s="21"/>
      <c r="C133" s="32"/>
      <c r="D133" s="32"/>
    </row>
    <row r="134" spans="1:4" ht="20.399999999999999" x14ac:dyDescent="0.3">
      <c r="A134" s="68"/>
      <c r="B134" s="21"/>
      <c r="C134" s="32"/>
      <c r="D134" s="32"/>
    </row>
    <row r="135" spans="1:4" ht="20.399999999999999" x14ac:dyDescent="0.3">
      <c r="A135" s="68"/>
      <c r="B135" s="21"/>
      <c r="C135" s="32"/>
      <c r="D135" s="32"/>
    </row>
    <row r="136" spans="1:4" ht="20.399999999999999" x14ac:dyDescent="0.3">
      <c r="A136" s="68"/>
      <c r="B136" s="21"/>
      <c r="C136" s="32"/>
      <c r="D136" s="32"/>
    </row>
    <row r="137" spans="1:4" ht="20.399999999999999" x14ac:dyDescent="0.3">
      <c r="A137" s="68"/>
      <c r="B137" s="21"/>
      <c r="C137" s="32"/>
      <c r="D137" s="32"/>
    </row>
    <row r="138" spans="1:4" ht="20.399999999999999" x14ac:dyDescent="0.3">
      <c r="A138" s="68"/>
      <c r="B138" s="21"/>
      <c r="C138" s="32"/>
      <c r="D138" s="32"/>
    </row>
    <row r="139" spans="1:4" ht="20.399999999999999" x14ac:dyDescent="0.3">
      <c r="A139" s="68"/>
      <c r="B139" s="21"/>
      <c r="C139" s="32"/>
      <c r="D139" s="32"/>
    </row>
    <row r="140" spans="1:4" ht="20.399999999999999" x14ac:dyDescent="0.3">
      <c r="A140" s="68"/>
      <c r="B140" s="21"/>
      <c r="C140" s="32"/>
      <c r="D140" s="32"/>
    </row>
    <row r="141" spans="1:4" ht="20.399999999999999" x14ac:dyDescent="0.3">
      <c r="A141" s="68"/>
      <c r="B141" s="21"/>
      <c r="C141" s="32"/>
      <c r="D141" s="32"/>
    </row>
    <row r="142" spans="1:4" ht="20.399999999999999" x14ac:dyDescent="0.3">
      <c r="A142" s="68"/>
      <c r="B142" s="21"/>
      <c r="C142" s="32"/>
      <c r="D142" s="32"/>
    </row>
    <row r="143" spans="1:4" ht="20.399999999999999" x14ac:dyDescent="0.3">
      <c r="A143" s="68"/>
      <c r="B143" s="21"/>
      <c r="C143" s="32"/>
      <c r="D143" s="32"/>
    </row>
    <row r="144" spans="1:4" ht="20.399999999999999" x14ac:dyDescent="0.3">
      <c r="A144" s="68"/>
      <c r="B144" s="21"/>
      <c r="C144" s="32"/>
      <c r="D144" s="32"/>
    </row>
    <row r="145" spans="1:4" ht="20.399999999999999" x14ac:dyDescent="0.3">
      <c r="A145" s="68"/>
      <c r="B145" s="21"/>
      <c r="C145" s="32"/>
      <c r="D145" s="32"/>
    </row>
    <row r="146" spans="1:4" ht="20.399999999999999" x14ac:dyDescent="0.3">
      <c r="A146" s="68"/>
      <c r="B146" s="21"/>
      <c r="C146" s="32"/>
      <c r="D146" s="32"/>
    </row>
    <row r="147" spans="1:4" ht="20.399999999999999" x14ac:dyDescent="0.3">
      <c r="A147" s="68"/>
      <c r="B147" s="21"/>
      <c r="C147" s="32"/>
      <c r="D147" s="32"/>
    </row>
    <row r="148" spans="1:4" ht="20.399999999999999" x14ac:dyDescent="0.3">
      <c r="A148" s="68"/>
      <c r="B148" s="21"/>
      <c r="C148" s="32"/>
      <c r="D148" s="32"/>
    </row>
    <row r="149" spans="1:4" ht="20.399999999999999" x14ac:dyDescent="0.3">
      <c r="A149" s="68"/>
      <c r="B149" s="21"/>
      <c r="C149" s="32"/>
      <c r="D149" s="32"/>
    </row>
    <row r="150" spans="1:4" ht="20.399999999999999" x14ac:dyDescent="0.3">
      <c r="A150" s="68"/>
      <c r="B150" s="21"/>
      <c r="C150" s="32"/>
      <c r="D150" s="32"/>
    </row>
    <row r="151" spans="1:4" ht="20.399999999999999" x14ac:dyDescent="0.3">
      <c r="A151" s="68"/>
      <c r="B151" s="21"/>
      <c r="C151" s="32"/>
      <c r="D151" s="32"/>
    </row>
    <row r="152" spans="1:4" ht="20.399999999999999" x14ac:dyDescent="0.3">
      <c r="A152" s="68"/>
      <c r="B152" s="21"/>
      <c r="C152" s="32"/>
      <c r="D152" s="32"/>
    </row>
    <row r="153" spans="1:4" ht="20.399999999999999" x14ac:dyDescent="0.3">
      <c r="A153" s="68"/>
      <c r="B153" s="21"/>
      <c r="C153" s="32"/>
      <c r="D153" s="32"/>
    </row>
    <row r="154" spans="1:4" ht="20.399999999999999" x14ac:dyDescent="0.3">
      <c r="A154" s="68"/>
      <c r="B154" s="21"/>
      <c r="C154" s="32"/>
      <c r="D154" s="32"/>
    </row>
    <row r="155" spans="1:4" ht="20.399999999999999" x14ac:dyDescent="0.3">
      <c r="A155" s="68"/>
      <c r="B155" s="21"/>
      <c r="C155" s="32"/>
      <c r="D155" s="32"/>
    </row>
    <row r="156" spans="1:4" ht="20.399999999999999" x14ac:dyDescent="0.3">
      <c r="A156" s="68"/>
      <c r="B156" s="21"/>
      <c r="C156" s="32"/>
      <c r="D156" s="32"/>
    </row>
    <row r="157" spans="1:4" ht="20.399999999999999" x14ac:dyDescent="0.3">
      <c r="A157" s="68"/>
      <c r="B157" s="21"/>
      <c r="C157" s="32"/>
      <c r="D157" s="32"/>
    </row>
    <row r="158" spans="1:4" ht="20.399999999999999" x14ac:dyDescent="0.3">
      <c r="A158" s="68"/>
      <c r="B158" s="21"/>
      <c r="C158" s="32"/>
      <c r="D158" s="32"/>
    </row>
    <row r="159" spans="1:4" ht="20.399999999999999" x14ac:dyDescent="0.3">
      <c r="A159" s="68"/>
      <c r="B159" s="21"/>
      <c r="C159" s="32"/>
      <c r="D159" s="32"/>
    </row>
    <row r="160" spans="1:4" ht="20.399999999999999" x14ac:dyDescent="0.3">
      <c r="A160" s="68"/>
      <c r="B160" s="21"/>
      <c r="C160" s="32"/>
      <c r="D160" s="32"/>
    </row>
    <row r="161" spans="1:4" ht="20.399999999999999" x14ac:dyDescent="0.3">
      <c r="A161" s="68"/>
      <c r="B161" s="21"/>
      <c r="C161" s="32"/>
      <c r="D161" s="32"/>
    </row>
    <row r="162" spans="1:4" ht="20.399999999999999" x14ac:dyDescent="0.3">
      <c r="A162" s="68"/>
      <c r="B162" s="21"/>
      <c r="C162" s="32"/>
      <c r="D162" s="32"/>
    </row>
    <row r="163" spans="1:4" ht="20.399999999999999" x14ac:dyDescent="0.3">
      <c r="A163" s="68"/>
      <c r="B163" s="21"/>
      <c r="C163" s="32"/>
      <c r="D163" s="32"/>
    </row>
    <row r="164" spans="1:4" ht="20.399999999999999" x14ac:dyDescent="0.3">
      <c r="A164" s="68"/>
      <c r="B164" s="21"/>
      <c r="C164" s="32"/>
      <c r="D164" s="32"/>
    </row>
    <row r="165" spans="1:4" ht="20.399999999999999" x14ac:dyDescent="0.3">
      <c r="A165" s="68"/>
      <c r="B165" s="21"/>
      <c r="C165" s="32"/>
      <c r="D165" s="32"/>
    </row>
    <row r="166" spans="1:4" ht="20.399999999999999" x14ac:dyDescent="0.3">
      <c r="A166" s="68"/>
      <c r="B166" s="21"/>
      <c r="C166" s="32"/>
      <c r="D166" s="32"/>
    </row>
    <row r="167" spans="1:4" ht="20.399999999999999" x14ac:dyDescent="0.3">
      <c r="A167" s="68"/>
      <c r="B167" s="21"/>
      <c r="C167" s="32"/>
      <c r="D167" s="32"/>
    </row>
    <row r="168" spans="1:4" ht="20.399999999999999" x14ac:dyDescent="0.3">
      <c r="A168" s="68"/>
      <c r="B168" s="21"/>
      <c r="C168" s="32"/>
      <c r="D168" s="32"/>
    </row>
    <row r="169" spans="1:4" ht="20.399999999999999" x14ac:dyDescent="0.3">
      <c r="A169" s="68"/>
      <c r="B169" s="21"/>
      <c r="C169" s="32"/>
      <c r="D169" s="32"/>
    </row>
    <row r="170" spans="1:4" ht="20.399999999999999" x14ac:dyDescent="0.3">
      <c r="A170" s="68"/>
      <c r="B170" s="21"/>
      <c r="C170" s="32"/>
      <c r="D170" s="32"/>
    </row>
    <row r="171" spans="1:4" ht="20.399999999999999" x14ac:dyDescent="0.3">
      <c r="A171" s="68"/>
      <c r="B171" s="21"/>
      <c r="C171" s="32"/>
      <c r="D171" s="32"/>
    </row>
    <row r="172" spans="1:4" ht="20.399999999999999" x14ac:dyDescent="0.3">
      <c r="A172" s="68"/>
      <c r="B172" s="21"/>
      <c r="C172" s="32"/>
      <c r="D172" s="32"/>
    </row>
    <row r="173" spans="1:4" ht="20.399999999999999" x14ac:dyDescent="0.3">
      <c r="A173" s="68"/>
      <c r="B173" s="21"/>
      <c r="C173" s="32"/>
      <c r="D173" s="32"/>
    </row>
    <row r="174" spans="1:4" ht="20.399999999999999" x14ac:dyDescent="0.3">
      <c r="A174" s="68"/>
      <c r="B174" s="21"/>
      <c r="C174" s="32"/>
      <c r="D174" s="32"/>
    </row>
    <row r="175" spans="1:4" ht="20.399999999999999" x14ac:dyDescent="0.3">
      <c r="A175" s="68"/>
      <c r="B175" s="21"/>
      <c r="C175" s="32"/>
      <c r="D175" s="32"/>
    </row>
    <row r="176" spans="1:4" ht="20.399999999999999" x14ac:dyDescent="0.3">
      <c r="A176" s="68"/>
      <c r="B176" s="21"/>
      <c r="C176" s="32"/>
      <c r="D176" s="32"/>
    </row>
    <row r="177" spans="1:4" ht="20.399999999999999" x14ac:dyDescent="0.3">
      <c r="A177" s="68"/>
      <c r="B177" s="21"/>
      <c r="C177" s="32"/>
      <c r="D177" s="32"/>
    </row>
    <row r="178" spans="1:4" ht="20.399999999999999" x14ac:dyDescent="0.3">
      <c r="A178" s="68"/>
      <c r="B178" s="21"/>
      <c r="C178" s="32"/>
      <c r="D178" s="32"/>
    </row>
    <row r="179" spans="1:4" ht="20.399999999999999" x14ac:dyDescent="0.3">
      <c r="A179" s="68"/>
      <c r="B179" s="21"/>
      <c r="C179" s="32"/>
      <c r="D179" s="32"/>
    </row>
    <row r="180" spans="1:4" ht="20.399999999999999" x14ac:dyDescent="0.3">
      <c r="A180" s="68"/>
      <c r="B180" s="21"/>
      <c r="C180" s="32"/>
      <c r="D180" s="32"/>
    </row>
    <row r="181" spans="1:4" ht="20.399999999999999" x14ac:dyDescent="0.3">
      <c r="A181" s="68"/>
      <c r="B181" s="21"/>
      <c r="C181" s="32"/>
      <c r="D181" s="32"/>
    </row>
    <row r="182" spans="1:4" ht="20.399999999999999" x14ac:dyDescent="0.3">
      <c r="A182" s="68"/>
      <c r="B182" s="21"/>
      <c r="C182" s="32"/>
      <c r="D182" s="32"/>
    </row>
    <row r="183" spans="1:4" ht="20.399999999999999" x14ac:dyDescent="0.3">
      <c r="A183" s="68"/>
      <c r="B183" s="21"/>
      <c r="C183" s="32"/>
      <c r="D183" s="32"/>
    </row>
    <row r="184" spans="1:4" ht="20.399999999999999" x14ac:dyDescent="0.3">
      <c r="A184" s="68"/>
      <c r="B184" s="21"/>
      <c r="C184" s="32"/>
      <c r="D184" s="32"/>
    </row>
    <row r="185" spans="1:4" ht="20.399999999999999" x14ac:dyDescent="0.3">
      <c r="A185" s="68"/>
      <c r="B185" s="21"/>
      <c r="C185" s="32"/>
      <c r="D185" s="32"/>
    </row>
    <row r="186" spans="1:4" ht="20.399999999999999" x14ac:dyDescent="0.3">
      <c r="A186" s="68"/>
      <c r="B186" s="21"/>
      <c r="C186" s="32"/>
      <c r="D186" s="32"/>
    </row>
    <row r="187" spans="1:4" ht="20.399999999999999" x14ac:dyDescent="0.3">
      <c r="A187" s="68"/>
      <c r="B187" s="21"/>
      <c r="C187" s="32"/>
      <c r="D187" s="32"/>
    </row>
    <row r="188" spans="1:4" ht="20.399999999999999" x14ac:dyDescent="0.3">
      <c r="A188" s="68"/>
      <c r="B188" s="21"/>
      <c r="C188" s="32"/>
      <c r="D188" s="32"/>
    </row>
    <row r="189" spans="1:4" ht="20.399999999999999" x14ac:dyDescent="0.3">
      <c r="A189" s="68"/>
      <c r="B189" s="21"/>
      <c r="C189" s="32"/>
      <c r="D189" s="32"/>
    </row>
    <row r="190" spans="1:4" ht="20.399999999999999" x14ac:dyDescent="0.3">
      <c r="A190" s="68"/>
      <c r="B190" s="21"/>
      <c r="C190" s="32"/>
      <c r="D190" s="32"/>
    </row>
    <row r="191" spans="1:4" ht="20.399999999999999" x14ac:dyDescent="0.3">
      <c r="A191" s="68"/>
      <c r="B191" s="21"/>
      <c r="C191" s="32"/>
      <c r="D191" s="32"/>
    </row>
    <row r="192" spans="1:4" ht="20.399999999999999" x14ac:dyDescent="0.3">
      <c r="A192" s="68"/>
      <c r="B192" s="21"/>
      <c r="C192" s="32"/>
      <c r="D192" s="32"/>
    </row>
    <row r="193" spans="1:4" ht="20.399999999999999" x14ac:dyDescent="0.3">
      <c r="A193" s="68"/>
      <c r="B193" s="21"/>
      <c r="C193" s="32"/>
      <c r="D193" s="32"/>
    </row>
    <row r="194" spans="1:4" ht="20.399999999999999" x14ac:dyDescent="0.3">
      <c r="A194" s="68"/>
      <c r="B194" s="21"/>
      <c r="C194" s="32"/>
      <c r="D194" s="32"/>
    </row>
    <row r="195" spans="1:4" ht="20.399999999999999" x14ac:dyDescent="0.3">
      <c r="A195" s="68"/>
      <c r="B195" s="21"/>
      <c r="C195" s="32"/>
      <c r="D195" s="32"/>
    </row>
    <row r="196" spans="1:4" ht="20.399999999999999" x14ac:dyDescent="0.3">
      <c r="A196" s="68"/>
      <c r="B196" s="21"/>
      <c r="C196" s="32"/>
      <c r="D196" s="32"/>
    </row>
    <row r="197" spans="1:4" ht="20.399999999999999" x14ac:dyDescent="0.3">
      <c r="A197" s="68"/>
      <c r="B197" s="21"/>
      <c r="C197" s="32"/>
      <c r="D197" s="32"/>
    </row>
    <row r="198" spans="1:4" ht="20.399999999999999" x14ac:dyDescent="0.3">
      <c r="A198" s="68"/>
      <c r="B198" s="21"/>
      <c r="C198" s="32"/>
      <c r="D198" s="32"/>
    </row>
    <row r="199" spans="1:4" ht="20.399999999999999" x14ac:dyDescent="0.3">
      <c r="A199" s="68"/>
      <c r="B199" s="21"/>
      <c r="C199" s="32"/>
      <c r="D199" s="32"/>
    </row>
    <row r="200" spans="1:4" ht="20.399999999999999" x14ac:dyDescent="0.3">
      <c r="A200" s="68"/>
      <c r="B200" s="21"/>
      <c r="C200" s="32"/>
      <c r="D200" s="32"/>
    </row>
    <row r="201" spans="1:4" ht="20.399999999999999" x14ac:dyDescent="0.3">
      <c r="A201" s="68"/>
      <c r="B201" s="21"/>
      <c r="C201" s="32"/>
      <c r="D201" s="32"/>
    </row>
    <row r="202" spans="1:4" ht="20.399999999999999" x14ac:dyDescent="0.3">
      <c r="A202" s="68"/>
      <c r="B202" s="21"/>
      <c r="C202" s="32"/>
      <c r="D202" s="32"/>
    </row>
    <row r="203" spans="1:4" ht="20.399999999999999" x14ac:dyDescent="0.3">
      <c r="A203" s="68"/>
      <c r="B203" s="21"/>
      <c r="C203" s="32"/>
      <c r="D203" s="32"/>
    </row>
    <row r="204" spans="1:4" ht="20.399999999999999" x14ac:dyDescent="0.3">
      <c r="A204" s="68"/>
      <c r="B204" s="21"/>
      <c r="C204" s="32"/>
      <c r="D204" s="32"/>
    </row>
    <row r="205" spans="1:4" ht="20.399999999999999" x14ac:dyDescent="0.3">
      <c r="A205" s="68"/>
      <c r="B205" s="21"/>
      <c r="C205" s="32"/>
      <c r="D205" s="32"/>
    </row>
    <row r="206" spans="1:4" ht="20.399999999999999" x14ac:dyDescent="0.3">
      <c r="A206" s="68"/>
      <c r="B206" s="21"/>
      <c r="C206" s="32"/>
      <c r="D206" s="32"/>
    </row>
    <row r="207" spans="1:4" ht="20.399999999999999" x14ac:dyDescent="0.3">
      <c r="A207" s="68"/>
      <c r="B207" s="21"/>
      <c r="C207" s="32"/>
      <c r="D207" s="32"/>
    </row>
    <row r="208" spans="1:4" x14ac:dyDescent="0.3">
      <c r="A208" s="50"/>
      <c r="B208" s="21"/>
      <c r="C208" s="21"/>
      <c r="D208" s="21"/>
    </row>
    <row r="209" spans="1:8" ht="20.399999999999999" x14ac:dyDescent="0.3">
      <c r="A209" s="50"/>
      <c r="B209" s="28" t="s">
        <v>87</v>
      </c>
      <c r="C209" s="28" t="s">
        <v>141</v>
      </c>
      <c r="D209" s="31" t="s">
        <v>87</v>
      </c>
      <c r="E209" s="31" t="s">
        <v>141</v>
      </c>
    </row>
    <row r="210" spans="1:8" ht="21" x14ac:dyDescent="0.4">
      <c r="A210" s="50"/>
      <c r="B210" s="29" t="s">
        <v>89</v>
      </c>
      <c r="C210" s="29" t="s">
        <v>58</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4">
      <c r="A211" s="50"/>
      <c r="B211" s="29" t="s">
        <v>89</v>
      </c>
      <c r="C211" s="29" t="s">
        <v>91</v>
      </c>
      <c r="E211" t="s">
        <v>58</v>
      </c>
      <c r="F211" t="str">
        <f t="shared" ref="F211:F221" si="0">IF(NOT(ISBLANK(D211)),D211,IF(NOT(ISBLANK(E211)),"     "&amp;E211,FALSE))</f>
        <v xml:space="preserve">     Afectación menor a 10 SMLMV .</v>
      </c>
    </row>
    <row r="212" spans="1:8" ht="21" x14ac:dyDescent="0.4">
      <c r="A212" s="50"/>
      <c r="B212" s="29" t="s">
        <v>89</v>
      </c>
      <c r="C212" s="29" t="s">
        <v>92</v>
      </c>
      <c r="E212" t="s">
        <v>91</v>
      </c>
      <c r="F212" t="str">
        <f t="shared" si="0"/>
        <v xml:space="preserve">     Entre 10 y 50 SMLMV </v>
      </c>
    </row>
    <row r="213" spans="1:8" ht="21" x14ac:dyDescent="0.4">
      <c r="A213" s="50"/>
      <c r="B213" s="29" t="s">
        <v>89</v>
      </c>
      <c r="C213" s="29" t="s">
        <v>93</v>
      </c>
      <c r="E213" t="s">
        <v>92</v>
      </c>
      <c r="F213" t="str">
        <f t="shared" si="0"/>
        <v xml:space="preserve">     Entre 50 y 100 SMLMV </v>
      </c>
    </row>
    <row r="214" spans="1:8" ht="21" x14ac:dyDescent="0.4">
      <c r="A214" s="50"/>
      <c r="B214" s="29" t="s">
        <v>89</v>
      </c>
      <c r="C214" s="29" t="s">
        <v>94</v>
      </c>
      <c r="E214" t="s">
        <v>93</v>
      </c>
      <c r="F214" t="str">
        <f t="shared" si="0"/>
        <v xml:space="preserve">     Entre 100 y 500 SMLMV </v>
      </c>
    </row>
    <row r="215" spans="1:8" ht="21" x14ac:dyDescent="0.4">
      <c r="A215" s="50"/>
      <c r="B215" s="29" t="s">
        <v>57</v>
      </c>
      <c r="C215" s="29" t="s">
        <v>95</v>
      </c>
      <c r="E215" t="s">
        <v>94</v>
      </c>
      <c r="F215" t="str">
        <f t="shared" si="0"/>
        <v xml:space="preserve">     Mayor a 500 SMLMV </v>
      </c>
    </row>
    <row r="216" spans="1:8" ht="21" x14ac:dyDescent="0.4">
      <c r="A216" s="50"/>
      <c r="B216" s="29" t="s">
        <v>57</v>
      </c>
      <c r="C216" s="29" t="s">
        <v>96</v>
      </c>
      <c r="D216" t="s">
        <v>57</v>
      </c>
      <c r="F216" t="str">
        <f t="shared" si="0"/>
        <v>Pérdida Reputacional</v>
      </c>
    </row>
    <row r="217" spans="1:8" ht="21" x14ac:dyDescent="0.4">
      <c r="A217" s="50"/>
      <c r="B217" s="29" t="s">
        <v>57</v>
      </c>
      <c r="C217" s="29" t="s">
        <v>98</v>
      </c>
      <c r="E217" t="s">
        <v>95</v>
      </c>
      <c r="F217" t="str">
        <f t="shared" si="0"/>
        <v xml:space="preserve">     El riesgo afecta la imagen de alguna área de la organización</v>
      </c>
    </row>
    <row r="218" spans="1:8" ht="21" x14ac:dyDescent="0.4">
      <c r="A218" s="50"/>
      <c r="B218" s="29" t="s">
        <v>57</v>
      </c>
      <c r="C218" s="29" t="s">
        <v>97</v>
      </c>
      <c r="E218" t="s">
        <v>96</v>
      </c>
      <c r="F218" t="str">
        <f t="shared" si="0"/>
        <v xml:space="preserve">     El riesgo afecta la imagen de la entidad internamente, de conocimiento general, nivel interno, de junta dircetiva y accionistas y/o de provedores</v>
      </c>
    </row>
    <row r="219" spans="1:8" ht="21" x14ac:dyDescent="0.4">
      <c r="A219" s="50"/>
      <c r="B219" s="29" t="s">
        <v>57</v>
      </c>
      <c r="C219" s="29" t="s">
        <v>116</v>
      </c>
      <c r="E219" t="s">
        <v>98</v>
      </c>
      <c r="F219" t="str">
        <f t="shared" si="0"/>
        <v xml:space="preserve">     El riesgo afecta la imagen de la entidad con algunos usuarios de relevancia frente al logro de los objetivos</v>
      </c>
    </row>
    <row r="220" spans="1:8" x14ac:dyDescent="0.3">
      <c r="A220" s="50"/>
      <c r="B220" s="30"/>
      <c r="C220" s="30"/>
      <c r="E220" t="s">
        <v>97</v>
      </c>
      <c r="F220" t="str">
        <f t="shared" si="0"/>
        <v xml:space="preserve">     El riesgo afecta la imagen de de la entidad con efecto publicitario sostenido a nivel de sector administrativo, nivel departamental o municipal</v>
      </c>
    </row>
    <row r="221" spans="1:8" x14ac:dyDescent="0.3">
      <c r="A221" s="50"/>
      <c r="B221" s="30" t="e" cm="1">
        <f t="array" aca="1" ref="B221:B223" ca="1">_xlfn.UNIQUE(Tabla1[[#All],[Criterios]])</f>
        <v>#NAME?</v>
      </c>
      <c r="C221" s="30"/>
      <c r="E221" t="s">
        <v>116</v>
      </c>
      <c r="F221" t="str">
        <f t="shared" si="0"/>
        <v xml:space="preserve">     El riesgo afecta la imagen de la entidad a nivel nacional, con efecto publicitarios sostenible a nivel país</v>
      </c>
    </row>
    <row r="222" spans="1:8" x14ac:dyDescent="0.3">
      <c r="A222" s="50"/>
      <c r="B222" s="30" t="e">
        <f ca="1"/>
        <v>#NAME?</v>
      </c>
      <c r="C222" s="30"/>
    </row>
    <row r="223" spans="1:8" x14ac:dyDescent="0.3">
      <c r="B223" s="30" t="e">
        <f ca="1"/>
        <v>#NAME?</v>
      </c>
      <c r="C223" s="30"/>
      <c r="F223" s="33" t="s">
        <v>143</v>
      </c>
    </row>
    <row r="224" spans="1:8" x14ac:dyDescent="0.3">
      <c r="B224" s="20"/>
      <c r="C224" s="20"/>
      <c r="F224" s="33" t="s">
        <v>144</v>
      </c>
    </row>
    <row r="225" spans="2:4" x14ac:dyDescent="0.3">
      <c r="B225" s="20"/>
      <c r="C225" s="20"/>
    </row>
    <row r="226" spans="2:4" x14ac:dyDescent="0.3">
      <c r="B226" s="20"/>
      <c r="C226" s="20"/>
    </row>
    <row r="227" spans="2:4" x14ac:dyDescent="0.3">
      <c r="B227" s="20"/>
      <c r="C227" s="20"/>
      <c r="D227" s="20"/>
    </row>
    <row r="228" spans="2:4" x14ac:dyDescent="0.3">
      <c r="B228" s="20"/>
      <c r="C228" s="20"/>
      <c r="D228" s="20"/>
    </row>
    <row r="229" spans="2:4" x14ac:dyDescent="0.3">
      <c r="B229" s="20"/>
      <c r="C229" s="20"/>
      <c r="D229" s="20"/>
    </row>
    <row r="230" spans="2:4" x14ac:dyDescent="0.3">
      <c r="B230" s="20"/>
      <c r="C230" s="20"/>
      <c r="D230" s="20"/>
    </row>
    <row r="231" spans="2:4" x14ac:dyDescent="0.3">
      <c r="B231" s="20"/>
      <c r="C231" s="20"/>
      <c r="D231" s="20"/>
    </row>
    <row r="232" spans="2:4" x14ac:dyDescent="0.3">
      <c r="B232" s="20"/>
      <c r="C232" s="20"/>
      <c r="D232" s="20"/>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E6" sqref="E6"/>
    </sheetView>
  </sheetViews>
  <sheetFormatPr baseColWidth="10" defaultColWidth="14.33203125" defaultRowHeight="13.8" x14ac:dyDescent="0.3"/>
  <cols>
    <col min="1" max="2" width="14.33203125" style="55"/>
    <col min="3" max="3" width="17" style="55" customWidth="1"/>
    <col min="4" max="4" width="14.33203125" style="55"/>
    <col min="5" max="5" width="46" style="55" customWidth="1"/>
    <col min="6" max="16384" width="14.33203125" style="55"/>
  </cols>
  <sheetData>
    <row r="1" spans="2:6" ht="24" customHeight="1" thickBot="1" x14ac:dyDescent="0.35">
      <c r="B1" s="396" t="s">
        <v>77</v>
      </c>
      <c r="C1" s="397"/>
      <c r="D1" s="397"/>
      <c r="E1" s="397"/>
      <c r="F1" s="398"/>
    </row>
    <row r="2" spans="2:6" ht="16.2" thickBot="1" x14ac:dyDescent="0.35">
      <c r="B2" s="56"/>
      <c r="C2" s="56"/>
      <c r="D2" s="56"/>
      <c r="E2" s="56"/>
      <c r="F2" s="56"/>
    </row>
    <row r="3" spans="2:6" ht="16.2" thickBot="1" x14ac:dyDescent="0.35">
      <c r="B3" s="400" t="s">
        <v>63</v>
      </c>
      <c r="C3" s="401"/>
      <c r="D3" s="401"/>
      <c r="E3" s="91" t="s">
        <v>64</v>
      </c>
      <c r="F3" s="92" t="s">
        <v>65</v>
      </c>
    </row>
    <row r="4" spans="2:6" ht="31.2" x14ac:dyDescent="0.3">
      <c r="B4" s="402" t="s">
        <v>66</v>
      </c>
      <c r="C4" s="404" t="s">
        <v>13</v>
      </c>
      <c r="D4" s="57" t="s">
        <v>14</v>
      </c>
      <c r="E4" s="58" t="s">
        <v>67</v>
      </c>
      <c r="F4" s="59">
        <v>0.25</v>
      </c>
    </row>
    <row r="5" spans="2:6" ht="46.8" x14ac:dyDescent="0.3">
      <c r="B5" s="403"/>
      <c r="C5" s="405"/>
      <c r="D5" s="60" t="s">
        <v>15</v>
      </c>
      <c r="E5" s="61" t="s">
        <v>68</v>
      </c>
      <c r="F5" s="62">
        <v>0.15</v>
      </c>
    </row>
    <row r="6" spans="2:6" ht="46.8" x14ac:dyDescent="0.3">
      <c r="B6" s="403"/>
      <c r="C6" s="405"/>
      <c r="D6" s="60" t="s">
        <v>16</v>
      </c>
      <c r="E6" s="61" t="s">
        <v>69</v>
      </c>
      <c r="F6" s="62">
        <v>0.1</v>
      </c>
    </row>
    <row r="7" spans="2:6" ht="62.4" x14ac:dyDescent="0.3">
      <c r="B7" s="403"/>
      <c r="C7" s="405" t="s">
        <v>17</v>
      </c>
      <c r="D7" s="60" t="s">
        <v>10</v>
      </c>
      <c r="E7" s="61" t="s">
        <v>70</v>
      </c>
      <c r="F7" s="62">
        <v>0.25</v>
      </c>
    </row>
    <row r="8" spans="2:6" ht="31.2" x14ac:dyDescent="0.3">
      <c r="B8" s="403"/>
      <c r="C8" s="405"/>
      <c r="D8" s="60" t="s">
        <v>9</v>
      </c>
      <c r="E8" s="61" t="s">
        <v>71</v>
      </c>
      <c r="F8" s="62">
        <v>0.15</v>
      </c>
    </row>
    <row r="9" spans="2:6" ht="46.8" x14ac:dyDescent="0.3">
      <c r="B9" s="403" t="s">
        <v>158</v>
      </c>
      <c r="C9" s="405" t="s">
        <v>18</v>
      </c>
      <c r="D9" s="60" t="s">
        <v>19</v>
      </c>
      <c r="E9" s="61" t="s">
        <v>72</v>
      </c>
      <c r="F9" s="63" t="s">
        <v>73</v>
      </c>
    </row>
    <row r="10" spans="2:6" ht="46.8" x14ac:dyDescent="0.3">
      <c r="B10" s="403"/>
      <c r="C10" s="405"/>
      <c r="D10" s="60" t="s">
        <v>20</v>
      </c>
      <c r="E10" s="61" t="s">
        <v>74</v>
      </c>
      <c r="F10" s="63" t="s">
        <v>73</v>
      </c>
    </row>
    <row r="11" spans="2:6" ht="46.8" x14ac:dyDescent="0.3">
      <c r="B11" s="403"/>
      <c r="C11" s="405" t="s">
        <v>21</v>
      </c>
      <c r="D11" s="60" t="s">
        <v>22</v>
      </c>
      <c r="E11" s="61" t="s">
        <v>75</v>
      </c>
      <c r="F11" s="63" t="s">
        <v>73</v>
      </c>
    </row>
    <row r="12" spans="2:6" ht="46.8" x14ac:dyDescent="0.3">
      <c r="B12" s="403"/>
      <c r="C12" s="405"/>
      <c r="D12" s="60" t="s">
        <v>23</v>
      </c>
      <c r="E12" s="61" t="s">
        <v>76</v>
      </c>
      <c r="F12" s="63" t="s">
        <v>73</v>
      </c>
    </row>
    <row r="13" spans="2:6" ht="31.2" x14ac:dyDescent="0.3">
      <c r="B13" s="403"/>
      <c r="C13" s="405" t="s">
        <v>24</v>
      </c>
      <c r="D13" s="60" t="s">
        <v>117</v>
      </c>
      <c r="E13" s="61" t="s">
        <v>120</v>
      </c>
      <c r="F13" s="63" t="s">
        <v>73</v>
      </c>
    </row>
    <row r="14" spans="2:6" ht="16.2" thickBot="1" x14ac:dyDescent="0.35">
      <c r="B14" s="406"/>
      <c r="C14" s="407"/>
      <c r="D14" s="64" t="s">
        <v>118</v>
      </c>
      <c r="E14" s="65" t="s">
        <v>119</v>
      </c>
      <c r="F14" s="66" t="s">
        <v>73</v>
      </c>
    </row>
    <row r="15" spans="2:6" ht="49.5" customHeight="1" x14ac:dyDescent="0.3">
      <c r="B15" s="399" t="s">
        <v>155</v>
      </c>
      <c r="C15" s="399"/>
      <c r="D15" s="399"/>
      <c r="E15" s="399"/>
      <c r="F15" s="399"/>
    </row>
    <row r="16" spans="2:6" ht="27" customHeight="1" x14ac:dyDescent="0.3">
      <c r="B16" s="6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1"/>
  <sheetViews>
    <sheetView topLeftCell="A13" workbookViewId="0">
      <selection activeCell="K25" sqref="K25"/>
    </sheetView>
  </sheetViews>
  <sheetFormatPr baseColWidth="10" defaultRowHeight="14.4" x14ac:dyDescent="0.3"/>
  <sheetData>
    <row r="2" spans="2:5" x14ac:dyDescent="0.3">
      <c r="B2" t="s">
        <v>31</v>
      </c>
      <c r="E2" t="s">
        <v>131</v>
      </c>
    </row>
    <row r="3" spans="2:5" x14ac:dyDescent="0.3">
      <c r="B3" t="s">
        <v>32</v>
      </c>
      <c r="E3" t="s">
        <v>130</v>
      </c>
    </row>
    <row r="4" spans="2:5" x14ac:dyDescent="0.3">
      <c r="B4" t="s">
        <v>135</v>
      </c>
      <c r="E4" t="s">
        <v>132</v>
      </c>
    </row>
    <row r="5" spans="2:5" x14ac:dyDescent="0.3">
      <c r="B5" t="s">
        <v>134</v>
      </c>
    </row>
    <row r="8" spans="2:5" x14ac:dyDescent="0.3">
      <c r="B8" t="s">
        <v>85</v>
      </c>
    </row>
    <row r="9" spans="2:5" x14ac:dyDescent="0.3">
      <c r="B9" t="s">
        <v>40</v>
      </c>
    </row>
    <row r="10" spans="2:5" x14ac:dyDescent="0.3">
      <c r="B10" t="s">
        <v>41</v>
      </c>
    </row>
    <row r="13" spans="2:5" x14ac:dyDescent="0.3">
      <c r="B13" t="s">
        <v>127</v>
      </c>
    </row>
    <row r="14" spans="2:5" x14ac:dyDescent="0.3">
      <c r="B14" t="s">
        <v>121</v>
      </c>
    </row>
    <row r="15" spans="2:5" x14ac:dyDescent="0.3">
      <c r="B15" t="s">
        <v>124</v>
      </c>
    </row>
    <row r="16" spans="2:5" x14ac:dyDescent="0.3">
      <c r="B16" t="s">
        <v>122</v>
      </c>
    </row>
    <row r="17" spans="2:2" x14ac:dyDescent="0.3">
      <c r="B17" t="s">
        <v>123</v>
      </c>
    </row>
    <row r="18" spans="2:2" x14ac:dyDescent="0.3">
      <c r="B18" t="s">
        <v>125</v>
      </c>
    </row>
    <row r="19" spans="2:2" x14ac:dyDescent="0.3">
      <c r="B19" t="s">
        <v>126</v>
      </c>
    </row>
    <row r="20" spans="2:2" x14ac:dyDescent="0.3">
      <c r="B20" t="s">
        <v>232</v>
      </c>
    </row>
    <row r="22" spans="2:2" x14ac:dyDescent="0.3">
      <c r="B22" t="s">
        <v>233</v>
      </c>
    </row>
    <row r="23" spans="2:2" x14ac:dyDescent="0.3">
      <c r="B23" t="s">
        <v>91</v>
      </c>
    </row>
    <row r="24" spans="2:2" x14ac:dyDescent="0.3">
      <c r="B24" t="s">
        <v>92</v>
      </c>
    </row>
    <row r="25" spans="2:2" x14ac:dyDescent="0.3">
      <c r="B25" t="s">
        <v>93</v>
      </c>
    </row>
    <row r="26" spans="2:2" x14ac:dyDescent="0.3">
      <c r="B26" t="s">
        <v>94</v>
      </c>
    </row>
    <row r="27" spans="2:2" x14ac:dyDescent="0.3">
      <c r="B27" t="s">
        <v>234</v>
      </c>
    </row>
    <row r="28" spans="2:2" x14ac:dyDescent="0.3">
      <c r="B28" t="s">
        <v>235</v>
      </c>
    </row>
    <row r="29" spans="2:2" x14ac:dyDescent="0.3">
      <c r="B29" t="s">
        <v>236</v>
      </c>
    </row>
    <row r="30" spans="2:2" x14ac:dyDescent="0.3">
      <c r="B30" t="s">
        <v>237</v>
      </c>
    </row>
    <row r="31" spans="2:2" x14ac:dyDescent="0.3">
      <c r="B31" t="s">
        <v>238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4140625" defaultRowHeight="13.8" x14ac:dyDescent="0.3"/>
  <cols>
    <col min="1" max="1" width="32.886718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Asus</cp:lastModifiedBy>
  <cp:lastPrinted>2020-05-13T01:12:22Z</cp:lastPrinted>
  <dcterms:created xsi:type="dcterms:W3CDTF">2020-03-24T23:12:47Z</dcterms:created>
  <dcterms:modified xsi:type="dcterms:W3CDTF">2024-05-20T23:02:04Z</dcterms:modified>
</cp:coreProperties>
</file>